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/>
  <mc:AlternateContent xmlns:mc="http://schemas.openxmlformats.org/markup-compatibility/2006">
    <mc:Choice Requires="x15">
      <x15ac:absPath xmlns:x15ac="http://schemas.microsoft.com/office/spreadsheetml/2010/11/ac" url="/Users/benjaminchadda/Desktop/FOXF Historical Financials/"/>
    </mc:Choice>
  </mc:AlternateContent>
  <xr:revisionPtr revIDLastSave="0" documentId="13_ncr:1_{A88E590F-2ED2-EC42-A1B8-035BD5A34207}" xr6:coauthVersionLast="47" xr6:coauthVersionMax="47" xr10:uidLastSave="{00000000-0000-0000-0000-000000000000}"/>
  <bookViews>
    <workbookView xWindow="11020" yWindow="760" windowWidth="19220" windowHeight="17700" firstSheet="1" activeTab="7" xr2:uid="{00000000-000D-0000-FFFF-FFFF00000000}"/>
  </bookViews>
  <sheets>
    <sheet name="Income Statement" sheetId="2" r:id="rId1"/>
    <sheet name="NOPAT" sheetId="3" r:id="rId2"/>
    <sheet name="Balance Sheet" sheetId="6" r:id="rId3"/>
    <sheet name="Invested Capital" sheetId="4" r:id="rId4"/>
    <sheet name="FCF" sheetId="5" r:id="rId5"/>
    <sheet name="SP500 Price History" sheetId="9" r:id="rId6"/>
    <sheet name="FOXF Price History" sheetId="10" r:id="rId7"/>
    <sheet name="WACC" sheetId="7" r:id="rId8"/>
    <sheet name="DCF Valuation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9" l="1"/>
  <c r="M154" i="9"/>
  <c r="M153" i="9"/>
  <c r="M152" i="9"/>
  <c r="M151" i="9"/>
  <c r="M150" i="9"/>
  <c r="M149" i="9"/>
  <c r="M148" i="9"/>
  <c r="M147" i="9"/>
  <c r="M146" i="9"/>
  <c r="M145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M131" i="9"/>
  <c r="M130" i="9"/>
  <c r="M129" i="9"/>
  <c r="M128" i="9"/>
  <c r="M127" i="9"/>
  <c r="M126" i="9"/>
  <c r="M125" i="9"/>
  <c r="M124" i="9"/>
  <c r="M123" i="9"/>
  <c r="M122" i="9"/>
  <c r="M121" i="9"/>
  <c r="M120" i="9"/>
  <c r="M119" i="9"/>
  <c r="M118" i="9"/>
  <c r="M117" i="9"/>
  <c r="M116" i="9"/>
  <c r="M115" i="9"/>
  <c r="M114" i="9"/>
  <c r="M113" i="9"/>
  <c r="M112" i="9"/>
  <c r="M111" i="9"/>
  <c r="M110" i="9"/>
  <c r="M109" i="9"/>
  <c r="M108" i="9"/>
  <c r="M107" i="9"/>
  <c r="M106" i="9"/>
  <c r="M105" i="9"/>
  <c r="M104" i="9"/>
  <c r="M103" i="9"/>
  <c r="M102" i="9"/>
  <c r="M101" i="9"/>
  <c r="M100" i="9"/>
  <c r="M99" i="9"/>
  <c r="M98" i="9"/>
  <c r="M97" i="9"/>
  <c r="M96" i="9"/>
  <c r="M95" i="9"/>
  <c r="M94" i="9"/>
  <c r="M93" i="9"/>
  <c r="M92" i="9"/>
  <c r="M91" i="9"/>
  <c r="M90" i="9"/>
  <c r="M89" i="9"/>
  <c r="M88" i="9"/>
  <c r="M87" i="9"/>
  <c r="M86" i="9"/>
  <c r="M85" i="9"/>
  <c r="M84" i="9"/>
  <c r="M83" i="9"/>
  <c r="M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9" i="9"/>
  <c r="M58" i="9"/>
  <c r="M57" i="9"/>
  <c r="M56" i="9"/>
  <c r="M55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M4" i="9"/>
  <c r="M3" i="9"/>
  <c r="J154" i="9"/>
  <c r="J153" i="9"/>
  <c r="J152" i="9"/>
  <c r="J151" i="9"/>
  <c r="J150" i="9"/>
  <c r="J149" i="9"/>
  <c r="J148" i="9"/>
  <c r="J147" i="9"/>
  <c r="J146" i="9"/>
  <c r="J145" i="9"/>
  <c r="J144" i="9"/>
  <c r="J143" i="9"/>
  <c r="J142" i="9"/>
  <c r="J141" i="9"/>
  <c r="J140" i="9"/>
  <c r="J139" i="9"/>
  <c r="J138" i="9"/>
  <c r="J137" i="9"/>
  <c r="J136" i="9"/>
  <c r="J135" i="9"/>
  <c r="J134" i="9"/>
  <c r="J133" i="9"/>
  <c r="J132" i="9"/>
  <c r="J131" i="9"/>
  <c r="J130" i="9"/>
  <c r="J129" i="9"/>
  <c r="J128" i="9"/>
  <c r="J127" i="9"/>
  <c r="J126" i="9"/>
  <c r="J125" i="9"/>
  <c r="J124" i="9"/>
  <c r="J123" i="9"/>
  <c r="J122" i="9"/>
  <c r="J121" i="9"/>
  <c r="J120" i="9"/>
  <c r="J119" i="9"/>
  <c r="J118" i="9"/>
  <c r="J117" i="9"/>
  <c r="J116" i="9"/>
  <c r="J115" i="9"/>
  <c r="J114" i="9"/>
  <c r="J113" i="9"/>
  <c r="J112" i="9"/>
  <c r="J111" i="9"/>
  <c r="J110" i="9"/>
  <c r="J109" i="9"/>
  <c r="J108" i="9"/>
  <c r="J107" i="9"/>
  <c r="J106" i="9"/>
  <c r="J105" i="9"/>
  <c r="J104" i="9"/>
  <c r="J103" i="9"/>
  <c r="J102" i="9"/>
  <c r="J101" i="9"/>
  <c r="J100" i="9"/>
  <c r="J99" i="9"/>
  <c r="J98" i="9"/>
  <c r="J97" i="9"/>
  <c r="J96" i="9"/>
  <c r="J95" i="9"/>
  <c r="J94" i="9"/>
  <c r="J93" i="9"/>
  <c r="J92" i="9"/>
  <c r="J91" i="9"/>
  <c r="J90" i="9"/>
  <c r="J89" i="9"/>
  <c r="J88" i="9"/>
  <c r="J87" i="9"/>
  <c r="J86" i="9"/>
  <c r="J85" i="9"/>
  <c r="J84" i="9"/>
  <c r="J83" i="9"/>
  <c r="J82" i="9"/>
  <c r="J81" i="9"/>
  <c r="J80" i="9"/>
  <c r="J79" i="9"/>
  <c r="J78" i="9"/>
  <c r="J77" i="9"/>
  <c r="J76" i="9"/>
  <c r="J75" i="9"/>
  <c r="J74" i="9"/>
  <c r="J73" i="9"/>
  <c r="J72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5" i="9"/>
  <c r="J4" i="9"/>
  <c r="J3" i="9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2" i="10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" i="9"/>
  <c r="B16" i="8"/>
  <c r="B43" i="8"/>
  <c r="B17" i="8"/>
  <c r="C9" i="8"/>
  <c r="D9" i="8"/>
  <c r="E9" i="8"/>
  <c r="F9" i="8"/>
  <c r="G9" i="8"/>
  <c r="B9" i="8"/>
  <c r="C8" i="8"/>
  <c r="D8" i="8"/>
  <c r="E8" i="8"/>
  <c r="F8" i="8"/>
  <c r="G8" i="8"/>
  <c r="H8" i="8"/>
  <c r="I8" i="8"/>
  <c r="J8" i="8"/>
  <c r="K8" i="8"/>
  <c r="B8" i="8"/>
  <c r="B7" i="8"/>
  <c r="D5" i="8"/>
  <c r="E5" i="8"/>
  <c r="F5" i="8"/>
  <c r="G5" i="8"/>
  <c r="C5" i="8"/>
  <c r="B5" i="8"/>
  <c r="B21" i="7"/>
  <c r="B20" i="7"/>
  <c r="B18" i="7"/>
  <c r="B14" i="7"/>
  <c r="B13" i="7"/>
  <c r="B15" i="7" s="1"/>
  <c r="B12" i="7"/>
  <c r="B11" i="7"/>
  <c r="B7" i="7"/>
  <c r="D2" i="10"/>
  <c r="D3" i="10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C153" i="10"/>
  <c r="C154" i="10"/>
  <c r="C3" i="10"/>
  <c r="B6" i="7"/>
  <c r="E2" i="9"/>
  <c r="D2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3" i="9"/>
  <c r="B46" i="8"/>
  <c r="B38" i="8"/>
  <c r="B37" i="8"/>
  <c r="B36" i="8"/>
  <c r="B30" i="8"/>
  <c r="B29" i="8"/>
  <c r="B28" i="8"/>
  <c r="B15" i="8"/>
  <c r="M12" i="4"/>
  <c r="N12" i="4"/>
  <c r="O12" i="4"/>
  <c r="P12" i="4"/>
  <c r="Q12" i="4"/>
  <c r="R12" i="4"/>
  <c r="S12" i="4"/>
  <c r="T12" i="4"/>
  <c r="U12" i="4"/>
  <c r="V12" i="4"/>
  <c r="L12" i="4"/>
  <c r="C23" i="4"/>
  <c r="D23" i="4"/>
  <c r="E23" i="4"/>
  <c r="F23" i="4"/>
  <c r="G23" i="4"/>
  <c r="H23" i="4"/>
  <c r="I23" i="4"/>
  <c r="J23" i="4"/>
  <c r="K23" i="4"/>
  <c r="B23" i="4"/>
  <c r="M10" i="3"/>
  <c r="N10" i="3"/>
  <c r="O10" i="3"/>
  <c r="P10" i="3"/>
  <c r="Q10" i="3"/>
  <c r="R10" i="3"/>
  <c r="S10" i="3"/>
  <c r="T10" i="3"/>
  <c r="U10" i="3"/>
  <c r="V10" i="3"/>
  <c r="L10" i="3"/>
  <c r="K14" i="5"/>
  <c r="K13" i="5"/>
  <c r="K12" i="5"/>
  <c r="K11" i="5"/>
  <c r="K10" i="5"/>
  <c r="J14" i="5"/>
  <c r="J13" i="5"/>
  <c r="J12" i="5"/>
  <c r="J11" i="5"/>
  <c r="J10" i="5"/>
  <c r="I14" i="5"/>
  <c r="I13" i="5"/>
  <c r="I12" i="5"/>
  <c r="I11" i="5"/>
  <c r="I10" i="5"/>
  <c r="H14" i="5"/>
  <c r="H13" i="5"/>
  <c r="H12" i="5"/>
  <c r="H11" i="5"/>
  <c r="H10" i="5"/>
  <c r="G14" i="5"/>
  <c r="G13" i="5"/>
  <c r="G12" i="5"/>
  <c r="G11" i="5"/>
  <c r="G10" i="5"/>
  <c r="F14" i="5"/>
  <c r="F13" i="5"/>
  <c r="F12" i="5"/>
  <c r="F11" i="5"/>
  <c r="F10" i="5"/>
  <c r="E14" i="5"/>
  <c r="E13" i="5"/>
  <c r="E12" i="5"/>
  <c r="E11" i="5"/>
  <c r="E10" i="5"/>
  <c r="D14" i="5"/>
  <c r="D13" i="5"/>
  <c r="D12" i="5"/>
  <c r="D11" i="5"/>
  <c r="D10" i="5"/>
  <c r="C14" i="5"/>
  <c r="C13" i="5"/>
  <c r="C12" i="5"/>
  <c r="C11" i="5"/>
  <c r="C10" i="5"/>
  <c r="B6" i="4"/>
  <c r="K16" i="4"/>
  <c r="K15" i="4"/>
  <c r="K13" i="4"/>
  <c r="K12" i="4"/>
  <c r="K10" i="4"/>
  <c r="K9" i="4"/>
  <c r="K8" i="4"/>
  <c r="K7" i="4"/>
  <c r="K6" i="4"/>
  <c r="J16" i="4"/>
  <c r="J15" i="4"/>
  <c r="J13" i="4"/>
  <c r="J12" i="4"/>
  <c r="J10" i="4"/>
  <c r="J9" i="4"/>
  <c r="J8" i="4"/>
  <c r="J7" i="4"/>
  <c r="J6" i="4"/>
  <c r="I16" i="4"/>
  <c r="I15" i="4"/>
  <c r="I13" i="4"/>
  <c r="I12" i="4"/>
  <c r="I10" i="4"/>
  <c r="I9" i="4"/>
  <c r="I8" i="4"/>
  <c r="I7" i="4"/>
  <c r="I6" i="4"/>
  <c r="H16" i="4"/>
  <c r="H15" i="4"/>
  <c r="H13" i="4"/>
  <c r="H12" i="4"/>
  <c r="H10" i="4"/>
  <c r="H9" i="4"/>
  <c r="H8" i="4"/>
  <c r="H7" i="4"/>
  <c r="H6" i="4"/>
  <c r="G16" i="4"/>
  <c r="G15" i="4"/>
  <c r="G13" i="4"/>
  <c r="G12" i="4"/>
  <c r="G10" i="4"/>
  <c r="G9" i="4"/>
  <c r="G8" i="4"/>
  <c r="G7" i="4"/>
  <c r="G6" i="4"/>
  <c r="F16" i="4"/>
  <c r="F15" i="4"/>
  <c r="F13" i="4"/>
  <c r="F12" i="4"/>
  <c r="F10" i="4"/>
  <c r="F9" i="4"/>
  <c r="F8" i="4"/>
  <c r="F7" i="4"/>
  <c r="F6" i="4"/>
  <c r="E16" i="4"/>
  <c r="E15" i="4"/>
  <c r="E13" i="4"/>
  <c r="E12" i="4"/>
  <c r="E10" i="4"/>
  <c r="E9" i="4"/>
  <c r="E8" i="4"/>
  <c r="E7" i="4"/>
  <c r="E6" i="4"/>
  <c r="D16" i="4"/>
  <c r="D15" i="4"/>
  <c r="D13" i="4"/>
  <c r="D12" i="4"/>
  <c r="D10" i="4"/>
  <c r="D9" i="4"/>
  <c r="D8" i="4"/>
  <c r="D7" i="4"/>
  <c r="D6" i="4"/>
  <c r="C16" i="4"/>
  <c r="C15" i="4"/>
  <c r="C13" i="4"/>
  <c r="C12" i="4"/>
  <c r="C10" i="4"/>
  <c r="C9" i="4"/>
  <c r="C8" i="4"/>
  <c r="C7" i="4"/>
  <c r="C6" i="4"/>
  <c r="B15" i="4"/>
  <c r="B12" i="4"/>
  <c r="B10" i="4"/>
  <c r="B13" i="4" s="1"/>
  <c r="B16" i="4" s="1"/>
  <c r="B9" i="4"/>
  <c r="B8" i="4"/>
  <c r="B7" i="4"/>
  <c r="C10" i="3"/>
  <c r="C18" i="3" s="1"/>
  <c r="D10" i="3"/>
  <c r="D18" i="3" s="1"/>
  <c r="E10" i="3"/>
  <c r="E18" i="3" s="1"/>
  <c r="F10" i="3"/>
  <c r="F18" i="3" s="1"/>
  <c r="G10" i="3"/>
  <c r="G18" i="3" s="1"/>
  <c r="H10" i="3"/>
  <c r="H18" i="3" s="1"/>
  <c r="I10" i="3"/>
  <c r="I18" i="3" s="1"/>
  <c r="J10" i="3"/>
  <c r="J18" i="3" s="1"/>
  <c r="K10" i="3"/>
  <c r="K18" i="3" s="1"/>
  <c r="B10" i="3"/>
  <c r="B18" i="3" s="1"/>
  <c r="C8" i="3"/>
  <c r="D8" i="3"/>
  <c r="E8" i="3"/>
  <c r="F8" i="3"/>
  <c r="G8" i="3"/>
  <c r="H8" i="3"/>
  <c r="I8" i="3"/>
  <c r="J8" i="3"/>
  <c r="K8" i="3"/>
  <c r="C7" i="3"/>
  <c r="D7" i="3"/>
  <c r="E7" i="3"/>
  <c r="F7" i="3"/>
  <c r="G7" i="3"/>
  <c r="H7" i="3"/>
  <c r="I7" i="3"/>
  <c r="J7" i="3"/>
  <c r="K7" i="3"/>
  <c r="C6" i="3"/>
  <c r="D6" i="3"/>
  <c r="E6" i="3"/>
  <c r="F6" i="3"/>
  <c r="G6" i="3"/>
  <c r="H6" i="3"/>
  <c r="I6" i="3"/>
  <c r="J6" i="3"/>
  <c r="K6" i="3"/>
  <c r="B8" i="3"/>
  <c r="B7" i="3"/>
  <c r="B16" i="3" s="1"/>
  <c r="B6" i="3"/>
  <c r="B22" i="7" l="1"/>
  <c r="E16" i="3"/>
  <c r="H16" i="3"/>
  <c r="D16" i="3"/>
  <c r="I16" i="3"/>
  <c r="C16" i="3"/>
  <c r="G16" i="3"/>
  <c r="J16" i="3"/>
  <c r="F16" i="3"/>
  <c r="K16" i="3"/>
  <c r="C7" i="5"/>
  <c r="C15" i="5" s="1"/>
  <c r="C17" i="3"/>
  <c r="D7" i="5"/>
  <c r="D15" i="5" s="1"/>
  <c r="D17" i="3"/>
  <c r="E7" i="5"/>
  <c r="E15" i="5" s="1"/>
  <c r="E17" i="3"/>
  <c r="F7" i="5"/>
  <c r="F15" i="5" s="1"/>
  <c r="F17" i="3"/>
  <c r="G7" i="5"/>
  <c r="G15" i="5" s="1"/>
  <c r="G17" i="3"/>
  <c r="H7" i="5"/>
  <c r="H15" i="5" s="1"/>
  <c r="H17" i="3"/>
  <c r="I17" i="3"/>
  <c r="I7" i="5"/>
  <c r="I15" i="5" s="1"/>
  <c r="J17" i="3"/>
  <c r="J7" i="5"/>
  <c r="J15" i="5" s="1"/>
  <c r="K7" i="5"/>
  <c r="K15" i="5" s="1"/>
  <c r="K17" i="3"/>
  <c r="C24" i="4"/>
  <c r="C20" i="4"/>
  <c r="C22" i="4"/>
  <c r="C15" i="3"/>
  <c r="C21" i="4"/>
  <c r="C9" i="3"/>
  <c r="C11" i="3" s="1"/>
  <c r="C12" i="3" s="1"/>
  <c r="C6" i="5" s="1"/>
  <c r="C19" i="4"/>
  <c r="D24" i="4"/>
  <c r="D21" i="4"/>
  <c r="D22" i="4"/>
  <c r="D19" i="4"/>
  <c r="D15" i="3"/>
  <c r="D9" i="3"/>
  <c r="D11" i="3" s="1"/>
  <c r="D12" i="3" s="1"/>
  <c r="D6" i="5" s="1"/>
  <c r="D20" i="4"/>
  <c r="E21" i="4"/>
  <c r="E20" i="4"/>
  <c r="E24" i="4"/>
  <c r="E22" i="4"/>
  <c r="E9" i="3"/>
  <c r="E11" i="3" s="1"/>
  <c r="E12" i="3" s="1"/>
  <c r="E6" i="5" s="1"/>
  <c r="E15" i="3"/>
  <c r="E19" i="4"/>
  <c r="F15" i="3"/>
  <c r="F22" i="4"/>
  <c r="F24" i="4"/>
  <c r="F19" i="4"/>
  <c r="F9" i="3"/>
  <c r="F11" i="3" s="1"/>
  <c r="F12" i="3" s="1"/>
  <c r="F6" i="5" s="1"/>
  <c r="F21" i="4"/>
  <c r="F20" i="4"/>
  <c r="G22" i="4"/>
  <c r="G19" i="4"/>
  <c r="G20" i="4"/>
  <c r="G15" i="3"/>
  <c r="G24" i="4"/>
  <c r="G21" i="4"/>
  <c r="G9" i="3"/>
  <c r="G11" i="3" s="1"/>
  <c r="G12" i="3" s="1"/>
  <c r="G6" i="5" s="1"/>
  <c r="G8" i="5" s="1"/>
  <c r="G17" i="5" s="1"/>
  <c r="H19" i="4"/>
  <c r="H15" i="3"/>
  <c r="H20" i="4"/>
  <c r="H21" i="4"/>
  <c r="H9" i="3"/>
  <c r="H11" i="3" s="1"/>
  <c r="H12" i="3" s="1"/>
  <c r="H6" i="5" s="1"/>
  <c r="H8" i="5" s="1"/>
  <c r="H17" i="5" s="1"/>
  <c r="H22" i="4"/>
  <c r="H24" i="4"/>
  <c r="I22" i="4"/>
  <c r="I24" i="4"/>
  <c r="I21" i="4"/>
  <c r="I19" i="4"/>
  <c r="I9" i="3"/>
  <c r="I11" i="3" s="1"/>
  <c r="I12" i="3" s="1"/>
  <c r="I6" i="5" s="1"/>
  <c r="I8" i="5" s="1"/>
  <c r="I17" i="5" s="1"/>
  <c r="I15" i="3"/>
  <c r="I20" i="4"/>
  <c r="J15" i="3"/>
  <c r="J20" i="4"/>
  <c r="J19" i="4"/>
  <c r="J22" i="4"/>
  <c r="J24" i="4"/>
  <c r="J9" i="3"/>
  <c r="J11" i="3" s="1"/>
  <c r="J12" i="3" s="1"/>
  <c r="J6" i="5" s="1"/>
  <c r="J8" i="5" s="1"/>
  <c r="J17" i="5" s="1"/>
  <c r="J21" i="4"/>
  <c r="K9" i="3"/>
  <c r="K11" i="3" s="1"/>
  <c r="K12" i="3" s="1"/>
  <c r="K6" i="5" s="1"/>
  <c r="K22" i="4"/>
  <c r="K21" i="4"/>
  <c r="K15" i="3"/>
  <c r="K20" i="4"/>
  <c r="K19" i="4"/>
  <c r="L6" i="3"/>
  <c r="K24" i="4"/>
  <c r="B17" i="3"/>
  <c r="B7" i="5"/>
  <c r="B9" i="3"/>
  <c r="B11" i="3" s="1"/>
  <c r="B12" i="3" s="1"/>
  <c r="B6" i="5" s="1"/>
  <c r="B8" i="5" s="1"/>
  <c r="B24" i="4"/>
  <c r="B19" i="4"/>
  <c r="B20" i="4"/>
  <c r="B22" i="4"/>
  <c r="B21" i="4"/>
  <c r="B8" i="7"/>
  <c r="B24" i="7" l="1"/>
  <c r="B23" i="7"/>
  <c r="B28" i="7" s="1"/>
  <c r="F8" i="5"/>
  <c r="F17" i="5" s="1"/>
  <c r="C8" i="5"/>
  <c r="C17" i="5" s="1"/>
  <c r="D8" i="5"/>
  <c r="D17" i="5" s="1"/>
  <c r="E8" i="5"/>
  <c r="E17" i="5" s="1"/>
  <c r="L8" i="3"/>
  <c r="L7" i="5" s="1"/>
  <c r="L7" i="3"/>
  <c r="L9" i="3" s="1"/>
  <c r="L11" i="3" s="1"/>
  <c r="L12" i="3" s="1"/>
  <c r="L6" i="5" s="1"/>
  <c r="L8" i="5" s="1"/>
  <c r="M6" i="3"/>
  <c r="L7" i="4"/>
  <c r="L11" i="5" s="1"/>
  <c r="L8" i="4"/>
  <c r="L12" i="5" s="1"/>
  <c r="L15" i="4"/>
  <c r="L6" i="4"/>
  <c r="L9" i="4"/>
  <c r="L13" i="5" s="1"/>
  <c r="K8" i="5"/>
  <c r="K17" i="5" s="1"/>
  <c r="M9" i="4" l="1"/>
  <c r="M13" i="5" s="1"/>
  <c r="M6" i="4"/>
  <c r="N6" i="3"/>
  <c r="M8" i="4"/>
  <c r="M12" i="5" s="1"/>
  <c r="M7" i="4"/>
  <c r="M11" i="5" s="1"/>
  <c r="M15" i="4"/>
  <c r="M7" i="3"/>
  <c r="M8" i="3"/>
  <c r="M7" i="5" s="1"/>
  <c r="L10" i="5"/>
  <c r="L14" i="5" s="1"/>
  <c r="L15" i="5" s="1"/>
  <c r="L17" i="5" s="1"/>
  <c r="L10" i="4"/>
  <c r="L13" i="4" s="1"/>
  <c r="L16" i="4" s="1"/>
  <c r="M9" i="3" l="1"/>
  <c r="M11" i="3" s="1"/>
  <c r="M12" i="3" s="1"/>
  <c r="M6" i="5" s="1"/>
  <c r="M8" i="5" s="1"/>
  <c r="M10" i="5"/>
  <c r="M14" i="5" s="1"/>
  <c r="M15" i="5" s="1"/>
  <c r="M10" i="4"/>
  <c r="M13" i="4" s="1"/>
  <c r="M16" i="4" s="1"/>
  <c r="N9" i="4"/>
  <c r="N13" i="5" s="1"/>
  <c r="N6" i="4"/>
  <c r="N15" i="4"/>
  <c r="N8" i="4"/>
  <c r="N12" i="5" s="1"/>
  <c r="N7" i="3"/>
  <c r="N8" i="3"/>
  <c r="N7" i="5" s="1"/>
  <c r="N9" i="3"/>
  <c r="N11" i="3" s="1"/>
  <c r="N12" i="3" s="1"/>
  <c r="N6" i="5" s="1"/>
  <c r="N8" i="5" s="1"/>
  <c r="O6" i="3"/>
  <c r="N7" i="4"/>
  <c r="N11" i="5" s="1"/>
  <c r="O9" i="4" l="1"/>
  <c r="O6" i="4"/>
  <c r="O8" i="4"/>
  <c r="O15" i="4"/>
  <c r="M17" i="5"/>
  <c r="O7" i="4"/>
  <c r="O11" i="5" s="1"/>
  <c r="O7" i="3"/>
  <c r="O8" i="3"/>
  <c r="O7" i="5" s="1"/>
  <c r="O9" i="3"/>
  <c r="O11" i="3" s="1"/>
  <c r="O12" i="3" s="1"/>
  <c r="O6" i="5" s="1"/>
  <c r="O8" i="5" s="1"/>
  <c r="P6" i="3"/>
  <c r="O12" i="5"/>
  <c r="O13" i="5"/>
  <c r="N10" i="5"/>
  <c r="N14" i="5" s="1"/>
  <c r="N15" i="5" s="1"/>
  <c r="N17" i="5" s="1"/>
  <c r="N10" i="4"/>
  <c r="N13" i="4" s="1"/>
  <c r="N16" i="4" s="1"/>
  <c r="P15" i="4"/>
  <c r="O10" i="5" l="1"/>
  <c r="O14" i="5" s="1"/>
  <c r="O15" i="5" s="1"/>
  <c r="O10" i="4"/>
  <c r="O13" i="4" s="1"/>
  <c r="O16" i="4" s="1"/>
  <c r="P8" i="4"/>
  <c r="P12" i="5" s="1"/>
  <c r="P7" i="4"/>
  <c r="P11" i="5" s="1"/>
  <c r="P9" i="4"/>
  <c r="P13" i="5" s="1"/>
  <c r="P6" i="4"/>
  <c r="P7" i="3"/>
  <c r="P8" i="3"/>
  <c r="P7" i="5" s="1"/>
  <c r="P9" i="3"/>
  <c r="Q6" i="3"/>
  <c r="O17" i="5"/>
  <c r="P10" i="5" l="1"/>
  <c r="P14" i="5" s="1"/>
  <c r="P15" i="5" s="1"/>
  <c r="P10" i="4"/>
  <c r="P13" i="4" s="1"/>
  <c r="P16" i="4" s="1"/>
  <c r="Q15" i="4"/>
  <c r="Q9" i="4"/>
  <c r="Q13" i="5" s="1"/>
  <c r="P11" i="3"/>
  <c r="P12" i="3"/>
  <c r="P6" i="5" s="1"/>
  <c r="P8" i="5" s="1"/>
  <c r="P17" i="5" s="1"/>
  <c r="Q6" i="4"/>
  <c r="Q8" i="4"/>
  <c r="Q12" i="5" s="1"/>
  <c r="Q7" i="4"/>
  <c r="Q11" i="5" s="1"/>
  <c r="Q7" i="3"/>
  <c r="Q9" i="3" s="1"/>
  <c r="Q8" i="3"/>
  <c r="Q7" i="5" s="1"/>
  <c r="R6" i="3"/>
  <c r="R8" i="4" l="1"/>
  <c r="R12" i="5" s="1"/>
  <c r="R7" i="4"/>
  <c r="R11" i="5" s="1"/>
  <c r="R15" i="4"/>
  <c r="R9" i="4"/>
  <c r="R13" i="5" s="1"/>
  <c r="R6" i="4"/>
  <c r="R7" i="3"/>
  <c r="R8" i="3"/>
  <c r="R7" i="5" s="1"/>
  <c r="S6" i="3"/>
  <c r="Q10" i="5"/>
  <c r="Q14" i="5" s="1"/>
  <c r="Q15" i="5" s="1"/>
  <c r="Q10" i="4"/>
  <c r="Q13" i="4" s="1"/>
  <c r="Q16" i="4" s="1"/>
  <c r="Q11" i="3"/>
  <c r="Q12" i="3" s="1"/>
  <c r="Q6" i="5" s="1"/>
  <c r="Q8" i="5" s="1"/>
  <c r="R9" i="3" l="1"/>
  <c r="R11" i="3" s="1"/>
  <c r="R12" i="3" s="1"/>
  <c r="R6" i="5" s="1"/>
  <c r="R8" i="5" s="1"/>
  <c r="Q17" i="5"/>
  <c r="R10" i="5"/>
  <c r="R14" i="5" s="1"/>
  <c r="R15" i="5" s="1"/>
  <c r="R17" i="5" s="1"/>
  <c r="H5" i="8" s="1"/>
  <c r="H9" i="8" s="1"/>
  <c r="R10" i="4"/>
  <c r="R13" i="4" s="1"/>
  <c r="R16" i="4" s="1"/>
  <c r="S8" i="4"/>
  <c r="S15" i="4"/>
  <c r="S9" i="4"/>
  <c r="S13" i="5" s="1"/>
  <c r="S8" i="3"/>
  <c r="T6" i="3"/>
  <c r="S7" i="4"/>
  <c r="S11" i="5" s="1"/>
  <c r="S7" i="3"/>
  <c r="S6" i="4"/>
  <c r="S10" i="5" s="1"/>
  <c r="S12" i="5" l="1"/>
  <c r="S14" i="5" s="1"/>
  <c r="S10" i="4"/>
  <c r="S13" i="4" s="1"/>
  <c r="S16" i="4" s="1"/>
  <c r="S7" i="5"/>
  <c r="S9" i="3"/>
  <c r="S11" i="3" s="1"/>
  <c r="S12" i="3" s="1"/>
  <c r="S6" i="5" s="1"/>
  <c r="S8" i="5" s="1"/>
  <c r="T15" i="4"/>
  <c r="T8" i="4"/>
  <c r="T12" i="5" s="1"/>
  <c r="T7" i="4"/>
  <c r="T11" i="5" s="1"/>
  <c r="T6" i="4"/>
  <c r="T7" i="3"/>
  <c r="T8" i="3"/>
  <c r="T7" i="5" s="1"/>
  <c r="U6" i="3"/>
  <c r="T9" i="4"/>
  <c r="T13" i="5" s="1"/>
  <c r="T9" i="3" l="1"/>
  <c r="T11" i="3" s="1"/>
  <c r="T12" i="3" s="1"/>
  <c r="T6" i="5" s="1"/>
  <c r="T8" i="5" s="1"/>
  <c r="S15" i="5"/>
  <c r="S17" i="5" s="1"/>
  <c r="I5" i="8" s="1"/>
  <c r="I9" i="8" s="1"/>
  <c r="T10" i="5"/>
  <c r="T14" i="5" s="1"/>
  <c r="T15" i="5" s="1"/>
  <c r="T10" i="4"/>
  <c r="T13" i="4" s="1"/>
  <c r="T16" i="4" s="1"/>
  <c r="U9" i="4"/>
  <c r="U13" i="5" s="1"/>
  <c r="U8" i="4"/>
  <c r="U12" i="5" s="1"/>
  <c r="U6" i="4"/>
  <c r="U7" i="4"/>
  <c r="U11" i="5" s="1"/>
  <c r="U15" i="4"/>
  <c r="U7" i="3"/>
  <c r="U8" i="3"/>
  <c r="U7" i="5" s="1"/>
  <c r="V6" i="3"/>
  <c r="V7" i="4" s="1"/>
  <c r="V8" i="4"/>
  <c r="V9" i="4"/>
  <c r="V6" i="4"/>
  <c r="V7" i="3"/>
  <c r="V8" i="3"/>
  <c r="V7" i="5" s="1"/>
  <c r="V15" i="4" l="1"/>
  <c r="T17" i="5"/>
  <c r="J5" i="8" s="1"/>
  <c r="J9" i="8" s="1"/>
  <c r="U9" i="3"/>
  <c r="U11" i="3" s="1"/>
  <c r="U12" i="3" s="1"/>
  <c r="U6" i="5" s="1"/>
  <c r="U8" i="5" s="1"/>
  <c r="V11" i="5"/>
  <c r="V12" i="5"/>
  <c r="V13" i="5"/>
  <c r="U10" i="5"/>
  <c r="U14" i="5" s="1"/>
  <c r="U15" i="5" s="1"/>
  <c r="U10" i="4"/>
  <c r="U13" i="4" s="1"/>
  <c r="U16" i="4" s="1"/>
  <c r="V10" i="5"/>
  <c r="V10" i="4"/>
  <c r="V13" i="4" s="1"/>
  <c r="V16" i="4" s="1"/>
  <c r="V9" i="3"/>
  <c r="V11" i="3" s="1"/>
  <c r="V12" i="3" s="1"/>
  <c r="U17" i="5" l="1"/>
  <c r="V14" i="5"/>
  <c r="V15" i="5" s="1"/>
  <c r="B14" i="8"/>
  <c r="B18" i="8" s="1"/>
  <c r="V6" i="5"/>
  <c r="V8" i="5" s="1"/>
  <c r="K5" i="8" l="1"/>
  <c r="K9" i="8" s="1"/>
  <c r="B11" i="8" s="1"/>
  <c r="B23" i="8" s="1"/>
  <c r="V17" i="5"/>
  <c r="L5" i="8" s="1"/>
  <c r="B20" i="8"/>
  <c r="B24" i="8" s="1"/>
  <c r="B25" i="8" l="1"/>
  <c r="B32" i="8" l="1"/>
  <c r="B40" i="8" s="1"/>
  <c r="B44" i="8" s="1"/>
  <c r="B47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Benjamin Chadda</author>
  </authors>
  <commentList>
    <comment ref="B16" authorId="0" shapeId="0" xr:uid="{6E1843DB-7EEF-C946-A6C6-838E31B07615}">
      <text>
        <r>
          <rPr>
            <b/>
            <sz val="10"/>
            <color rgb="FF000000"/>
            <rFont val="Tahoma"/>
            <family val="2"/>
          </rPr>
          <t xml:space="preserve">RONIC = NOPAT(CV) / IC excl goodwill(CV).
</t>
        </r>
      </text>
    </comment>
    <comment ref="A18" authorId="0" shapeId="0" xr:uid="{4F5BCAE5-743A-AA4C-B97E-1329365A819A}">
      <text>
        <r>
          <rPr>
            <b/>
            <sz val="10"/>
            <color rgb="FF000000"/>
            <rFont val="Tahoma"/>
            <family val="2"/>
          </rPr>
          <t>Benjamin Chadda: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CV = NOPAT(t+1) </t>
        </r>
        <r>
          <rPr>
            <sz val="10"/>
            <color rgb="FF000000"/>
            <rFont val="Tahoma"/>
            <family val="2"/>
          </rPr>
          <t>×</t>
        </r>
        <r>
          <rPr>
            <sz val="10"/>
            <color rgb="FF000000"/>
            <rFont val="Tahoma"/>
            <family val="2"/>
          </rPr>
          <t xml:space="preserve"> (1 - g/RONIC) / (WACC - g).</t>
        </r>
      </text>
    </comment>
    <comment ref="B20" authorId="0" shapeId="0" xr:uid="{1C82EE96-8312-6E49-A261-4AF617A82FEB}">
      <text>
        <r>
          <rPr>
            <b/>
            <sz val="10"/>
            <color rgb="FF000000"/>
            <rFont val="Tahoma"/>
            <family val="2"/>
          </rPr>
          <t>Benjamin Chadda: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Discounted at Year 10 factor since CV represents value at end of Year 10</t>
        </r>
      </text>
    </comment>
    <comment ref="B29" authorId="0" shapeId="0" xr:uid="{05827E76-1C10-1A40-803F-1F970E5EC5B9}">
      <text>
        <r>
          <rPr>
            <b/>
            <sz val="10"/>
            <color rgb="FF000000"/>
            <rFont val="Tahoma"/>
            <family val="2"/>
          </rPr>
          <t>Benjamin Chadda: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Long-term investments ($1.1M) + Deferred tax assets ($144.4M) from BS</t>
        </r>
      </text>
    </comment>
  </commentList>
</comments>
</file>

<file path=xl/sharedStrings.xml><?xml version="1.0" encoding="utf-8"?>
<sst xmlns="http://schemas.openxmlformats.org/spreadsheetml/2006/main" count="337" uniqueCount="240">
  <si>
    <t>Fox Factory Holding Corp.</t>
  </si>
  <si>
    <t xml:space="preserve">FOXF   35138V102   BCRY5K3   NASDAQ    Common stock    </t>
  </si>
  <si>
    <t>Source: FactSet Fundamentals</t>
  </si>
  <si>
    <t>DEC '25</t>
  </si>
  <si>
    <t>DEC '24</t>
  </si>
  <si>
    <t>DEC '23</t>
  </si>
  <si>
    <t>DEC '22</t>
  </si>
  <si>
    <t>DEC '21</t>
  </si>
  <si>
    <t>DEC '20</t>
  </si>
  <si>
    <t>DEC '19</t>
  </si>
  <si>
    <t>DEC '18</t>
  </si>
  <si>
    <t>DEC '17</t>
  </si>
  <si>
    <t>DEC '16</t>
  </si>
  <si>
    <t>Restate</t>
  </si>
  <si>
    <t>Sales</t>
  </si>
  <si>
    <t>Cost of Goods Sold (COGS) incl. D&amp;A</t>
  </si>
  <si>
    <t>COGS excluding D&amp;A</t>
  </si>
  <si>
    <t>Depreciation &amp; Amortization Expense</t>
  </si>
  <si>
    <t>Depreciation</t>
  </si>
  <si>
    <t>Amortization of Intangibles</t>
  </si>
  <si>
    <t>Gross Income</t>
  </si>
  <si>
    <t>SG&amp;A Expense</t>
  </si>
  <si>
    <t>Research &amp; Development</t>
  </si>
  <si>
    <t>Other SG&amp;A</t>
  </si>
  <si>
    <t>Other Operating Expense</t>
  </si>
  <si>
    <t>EBIT (Operating Income)</t>
  </si>
  <si>
    <t>Nonoperating Income - Net</t>
  </si>
  <si>
    <t>Other Income (Expense)</t>
  </si>
  <si>
    <t>Interest Expense</t>
  </si>
  <si>
    <t>Gross Interest Expense</t>
  </si>
  <si>
    <t>Unusual Expense - Net</t>
  </si>
  <si>
    <t>Impairments</t>
  </si>
  <si>
    <t>Goodwill</t>
  </si>
  <si>
    <t>Property,Plant &amp; Equipment</t>
  </si>
  <si>
    <t>Restructuring Expense</t>
  </si>
  <si>
    <t>Legal Claim Expense</t>
  </si>
  <si>
    <t>Unrealized Valuation Gain/Loss</t>
  </si>
  <si>
    <t>Hedges/Derivatives</t>
  </si>
  <si>
    <t>Pretax Income</t>
  </si>
  <si>
    <t>Income Taxes</t>
  </si>
  <si>
    <t>Income Taxes - Current Domestic</t>
  </si>
  <si>
    <t>Income Taxes - Current Foreign</t>
  </si>
  <si>
    <t>Income Taxes - Deferred Domestic</t>
  </si>
  <si>
    <t>Income Taxes - Deferred Foreign</t>
  </si>
  <si>
    <t>Income Tax Credits</t>
  </si>
  <si>
    <t>Consolidated Net Income</t>
  </si>
  <si>
    <t>Minority Interest</t>
  </si>
  <si>
    <t>Net Income</t>
  </si>
  <si>
    <t>Net Income available to Common</t>
  </si>
  <si>
    <t>Per Share</t>
  </si>
  <si>
    <t>EPS (recurring)</t>
  </si>
  <si>
    <t>EPS (basic)</t>
  </si>
  <si>
    <t>Basic Shares Outstanding</t>
  </si>
  <si>
    <t>Total Shares Outstanding</t>
  </si>
  <si>
    <t>EPS (diluted)</t>
  </si>
  <si>
    <t>Diluted Shares Outstanding</t>
  </si>
  <si>
    <t>Earnings Persistence</t>
  </si>
  <si>
    <t>EBITDA</t>
  </si>
  <si>
    <t>EBIT</t>
  </si>
  <si>
    <t>All figures in millions of U.S. Dollar except per share items.</t>
  </si>
  <si>
    <t>Fox Factory Holding Corp. (FOXF)</t>
  </si>
  <si>
    <t>$16.37</t>
  </si>
  <si>
    <t>Revenue</t>
  </si>
  <si>
    <t>Operating Costs</t>
  </si>
  <si>
    <t>Operating Profit</t>
  </si>
  <si>
    <t>Operating Taxes</t>
  </si>
  <si>
    <t>NOPAT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</si>
  <si>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</si>
  <si>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</si>
  <si>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</si>
  <si>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</si>
  <si>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</si>
  <si>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</si>
  <si>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</si>
  <si>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</si>
  <si>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</si>
  <si>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</si>
  <si>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CV</t>
  </si>
  <si>
    <t>Tax Rate</t>
  </si>
  <si>
    <t>Dec '25</t>
  </si>
  <si>
    <t>Dec '17</t>
  </si>
  <si>
    <t>Dec '18</t>
  </si>
  <si>
    <t>Dec '19</t>
  </si>
  <si>
    <t>Dec '20</t>
  </si>
  <si>
    <t>Dec '21</t>
  </si>
  <si>
    <t>Dec '22</t>
  </si>
  <si>
    <t>Dec '23</t>
  </si>
  <si>
    <t>Dec '24</t>
  </si>
  <si>
    <t>Dec '16</t>
  </si>
  <si>
    <t>Assets</t>
  </si>
  <si>
    <t>Cash &amp; Short-Term Investments</t>
  </si>
  <si>
    <t>Cash Only</t>
  </si>
  <si>
    <t>Short-Term Receivables</t>
  </si>
  <si>
    <t>Accounts Receivables, Net</t>
  </si>
  <si>
    <t>Accounts Receivables, Gross</t>
  </si>
  <si>
    <t>Bad Debt/Doubtful Accounts</t>
  </si>
  <si>
    <t>Inventories</t>
  </si>
  <si>
    <t>Finished Goods</t>
  </si>
  <si>
    <t>Work in Progress</t>
  </si>
  <si>
    <t>Raw Materials</t>
  </si>
  <si>
    <t>Other Current Assets</t>
  </si>
  <si>
    <t>Prepaid Expenses</t>
  </si>
  <si>
    <t>Miscellaneous Current Assets</t>
  </si>
  <si>
    <t>Total Current Assets</t>
  </si>
  <si>
    <t>Net Property, Plant &amp; Equipment</t>
  </si>
  <si>
    <t>Property, Plant &amp; Equipment - Gross</t>
  </si>
  <si>
    <t>Buildings</t>
  </si>
  <si>
    <t>Land &amp; Improvements</t>
  </si>
  <si>
    <t>Machinery &amp; Equipment</t>
  </si>
  <si>
    <t>Computer Software and Equipment</t>
  </si>
  <si>
    <t>Transportation Equipment</t>
  </si>
  <si>
    <t>Other Property, Plant &amp; Equipment</t>
  </si>
  <si>
    <t>Operating Lease Right-of-Use Assets</t>
  </si>
  <si>
    <t>Accumulated Depreciation</t>
  </si>
  <si>
    <t xml:space="preserve">Total Long-Term Investments </t>
  </si>
  <si>
    <t>Other Long-Term Investments</t>
  </si>
  <si>
    <t>Intangible Assets</t>
  </si>
  <si>
    <t>Other Intangible Assets</t>
  </si>
  <si>
    <t>Deferred Tax Assets</t>
  </si>
  <si>
    <t>Other Assets</t>
  </si>
  <si>
    <t>Tangible Other Assets</t>
  </si>
  <si>
    <t>Total Assets</t>
  </si>
  <si>
    <t>Liabilities &amp; Shareholders' Equity</t>
  </si>
  <si>
    <t>Current</t>
  </si>
  <si>
    <t>ST Debt &amp; Curr. Portion LT Debt</t>
  </si>
  <si>
    <t>Accounts Payable</t>
  </si>
  <si>
    <t>Income Tax Payable</t>
  </si>
  <si>
    <t>Other Current Liabilities</t>
  </si>
  <si>
    <t>Accrued Payroll</t>
  </si>
  <si>
    <t>Miscellaneous Current Liabilities</t>
  </si>
  <si>
    <t>Total Current Liabilities</t>
  </si>
  <si>
    <t>Long-Term</t>
  </si>
  <si>
    <t>Long-Term Debt</t>
  </si>
  <si>
    <t>Long-Term Debt excl Lease Obligations</t>
  </si>
  <si>
    <t>Capital and Operating Lease Obligations</t>
  </si>
  <si>
    <t>Deferred Tax Liabilities</t>
  </si>
  <si>
    <t>Other Liabilities</t>
  </si>
  <si>
    <t>Other Liabilities (excl. Deferred Income)</t>
  </si>
  <si>
    <t>Total Liabilities</t>
  </si>
  <si>
    <t>Equity</t>
  </si>
  <si>
    <t>Common Equity</t>
  </si>
  <si>
    <t>Common Stock Par/Carry Value</t>
  </si>
  <si>
    <t>Additional Paid-In Capital/Capital Surplus</t>
  </si>
  <si>
    <t>Retained Earnings</t>
  </si>
  <si>
    <t>Cumulative Translation Adjustment/Unrealized For. Exch. Gain</t>
  </si>
  <si>
    <t>Other Appropriated Reserves</t>
  </si>
  <si>
    <t>Treasury Stock</t>
  </si>
  <si>
    <t>Total Shareholders' Equity</t>
  </si>
  <si>
    <t>Accumulated Minority Interest</t>
  </si>
  <si>
    <t>Total Equity</t>
  </si>
  <si>
    <t>Total Liabilities &amp; Shareholders' Equity</t>
  </si>
  <si>
    <t>Book Value per Share</t>
  </si>
  <si>
    <t>Tangible Book Value per Share</t>
  </si>
  <si>
    <t>Working Capital</t>
  </si>
  <si>
    <t>PPE Net</t>
  </si>
  <si>
    <t>Invested Capital excluding goodwill</t>
  </si>
  <si>
    <t>Goodwill and acquired intangibles</t>
  </si>
  <si>
    <t>Invested Capital including goodwill</t>
  </si>
  <si>
    <t>Nonoperating Assets</t>
  </si>
  <si>
    <t>Total Funds Invested</t>
  </si>
  <si>
    <t>FOXF NOPAT</t>
  </si>
  <si>
    <t>FOXF Invested Capital</t>
  </si>
  <si>
    <t>Other Operating Assets</t>
  </si>
  <si>
    <t>Other Operating Liabilities</t>
  </si>
  <si>
    <t>FOXF Free Cash Flow</t>
  </si>
  <si>
    <t>Gross Cash Flow</t>
  </si>
  <si>
    <t>∆ Working Capital</t>
  </si>
  <si>
    <t>∆ PPE Net</t>
  </si>
  <si>
    <t>∆ Other Operating Assets</t>
  </si>
  <si>
    <t>∆ Other Operating Liabilities</t>
  </si>
  <si>
    <t>∆ Invested Capital excl. Goodwill</t>
  </si>
  <si>
    <t>Gross Investment</t>
  </si>
  <si>
    <t>Free Cash Flow</t>
  </si>
  <si>
    <t>Forecast Assumptions</t>
  </si>
  <si>
    <t>Revenue Growth</t>
  </si>
  <si>
    <t>Op Costs / Revenue</t>
  </si>
  <si>
    <t>Depreciation / Revenue</t>
  </si>
  <si>
    <t>Operating Tax Rate</t>
  </si>
  <si>
    <t>Working Capital / Revenue</t>
  </si>
  <si>
    <t>Net PPE / Revenue</t>
  </si>
  <si>
    <t>Other Op Assets / Revenue</t>
  </si>
  <si>
    <t>Other Op Liabilities / Revenue</t>
  </si>
  <si>
    <t>Goodwill &amp; Intangibles</t>
  </si>
  <si>
    <t>Nonoperating Assets / Revenue</t>
  </si>
  <si>
    <t>FOXF Weighted Average Cost of Capital (WACC)</t>
  </si>
  <si>
    <t>After-Tax Cost of Debt</t>
  </si>
  <si>
    <t>Interest Expense (FY25)</t>
  </si>
  <si>
    <t>Total Debt (ST + LT)</t>
  </si>
  <si>
    <t>Marginal Tax Rate (Tm)</t>
  </si>
  <si>
    <t>Current Share Price</t>
  </si>
  <si>
    <t>Diluted Shares Outstanding (M)</t>
  </si>
  <si>
    <t>Market Cap (Equity Value)</t>
  </si>
  <si>
    <t>Total Enterprise Value (D + E)</t>
  </si>
  <si>
    <t>WACC Calculation</t>
  </si>
  <si>
    <t>FOXF DCF Valuation</t>
  </si>
  <si>
    <t>Step 1: Discount Free Cash Flow</t>
  </si>
  <si>
    <t>Discount Period</t>
  </si>
  <si>
    <t>WACC</t>
  </si>
  <si>
    <t>Discount Factor</t>
  </si>
  <si>
    <t>PV of FCF</t>
  </si>
  <si>
    <t>Sum of PV of FCFs</t>
  </si>
  <si>
    <t>Step 2: Continuing Value</t>
  </si>
  <si>
    <t>Long-Term Growth Rate (g)</t>
  </si>
  <si>
    <t>PV of Continuing Value</t>
  </si>
  <si>
    <t>Step 3: Enterprise Value Buildup</t>
  </si>
  <si>
    <t>PV of Free Cash Flows (Years 1-10)</t>
  </si>
  <si>
    <t>Value of Operations</t>
  </si>
  <si>
    <t>Plus: Nonoperating Assets</t>
  </si>
  <si>
    <t xml:space="preserve">  Excess Cash &amp; Short-Term Investments</t>
  </si>
  <si>
    <t xml:space="preserve">  Other Nonoperating Assets (LT Investments + Deferred Tax + Other)</t>
  </si>
  <si>
    <t>Total Nonoperating Assets</t>
  </si>
  <si>
    <t>Enterprise Value</t>
  </si>
  <si>
    <t>Step 4: Equity Value</t>
  </si>
  <si>
    <t>Less: Interest-Bearing Debt</t>
  </si>
  <si>
    <t xml:space="preserve">  Short-Term Debt</t>
  </si>
  <si>
    <t xml:space="preserve">  Long-Term Debt</t>
  </si>
  <si>
    <t>Total Debt</t>
  </si>
  <si>
    <t>Equity Value</t>
  </si>
  <si>
    <t>Step 5: Value Per Share</t>
  </si>
  <si>
    <t>Intrinsic Value Per Share</t>
  </si>
  <si>
    <t>Current Market Price</t>
  </si>
  <si>
    <t>Upside / (Downside)</t>
  </si>
  <si>
    <t>Continuing Value</t>
  </si>
  <si>
    <t>Risk Free Rate (10yr UST)</t>
  </si>
  <si>
    <t>Market Risk Premium</t>
  </si>
  <si>
    <t xml:space="preserve">Beta </t>
  </si>
  <si>
    <t>Cost of Equity</t>
  </si>
  <si>
    <t>Date</t>
  </si>
  <si>
    <t>Price</t>
  </si>
  <si>
    <t>RONIC</t>
  </si>
  <si>
    <t>Monthly Return</t>
  </si>
  <si>
    <t>Avg. Monthly Return</t>
  </si>
  <si>
    <t>Annualized Avg Return</t>
  </si>
  <si>
    <t>Beta</t>
  </si>
  <si>
    <t>Pre-Tax Cost of Debt</t>
  </si>
  <si>
    <t>Weight of Equity</t>
  </si>
  <si>
    <t>Weight of Debt</t>
  </si>
  <si>
    <t>WACC = We * Re + Wd + Rd(1-T)</t>
  </si>
  <si>
    <t>NOPAT in Year t+1</t>
  </si>
  <si>
    <t>Capital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</si>
</sst>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#,##0.0"/>
    <numFmt numFmtId="165" formatCode="0.000%"/>
    <numFmt numFmtId="166" formatCode="0.0%"/>
    <numFmt numFmtId="167" formatCode="&quot;$&quot;#,##0.0"/>
    <numFmt numFmtId="168" formatCode="&quot;$&quot;#,##0.00"/>
    <numFmt numFmtId="169" formatCode="#,##0.000"/>
    <numFmt numFmtId="170" formatCode="0.0000"/>
    <numFmt numFmtId="171" formatCode="&quot;$&quot;#,##0.0;\(&quot;$&quot;#,##0.0\);\-"/>
    <numFmt numFmtId="172" formatCode="mm/dd/yy"/>
  </numFmts>
  <fonts count="1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646464"/>
      <name val="Arial"/>
      <family val="2"/>
    </font>
    <font>
      <b/>
      <sz val="10"/>
      <color rgb="FF003366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b/>
      <sz val="12"/>
      <color theme="1"/>
      <name val="Arial"/>
      <family val="2"/>
    </font>
    <font>
      <i/>
      <sz val="9"/>
      <color rgb="FF666666"/>
      <name val="Arial"/>
      <family val="2"/>
    </font>
    <font>
      <b/>
      <sz val="11"/>
      <color theme="1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i/>
      <sz val="10"/>
      <color theme="1"/>
      <name val="Arial"/>
      <family val="2"/>
    </font>
    <font>
      <i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8C8C8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BFBFB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164" fontId="3" fillId="3" borderId="0" xfId="0" applyNumberFormat="1" applyFont="1" applyFill="1" applyAlignment="1">
      <alignment horizontal="right"/>
    </xf>
    <xf numFmtId="0" fontId="3" fillId="0" borderId="0" xfId="0" applyFont="1" applyAlignment="1">
      <alignment horizontal="left" indent="3"/>
    </xf>
    <xf numFmtId="164" fontId="3" fillId="0" borderId="0" xfId="0" applyNumberFormat="1" applyFont="1" applyAlignment="1">
      <alignment horizontal="right"/>
    </xf>
    <xf numFmtId="0" fontId="0" fillId="0" borderId="0" xfId="0" applyAlignment="1">
      <alignment horizontal="left" indent="4"/>
    </xf>
    <xf numFmtId="0" fontId="0" fillId="3" borderId="0" xfId="0" applyFill="1" applyAlignment="1">
      <alignment horizontal="left" indent="4"/>
    </xf>
    <xf numFmtId="164" fontId="0" fillId="3" borderId="0" xfId="0" applyNumberFormat="1" applyFill="1" applyAlignment="1">
      <alignment horizontal="right"/>
    </xf>
    <xf numFmtId="0" fontId="3" fillId="0" borderId="0" xfId="0" applyFont="1" applyAlignment="1">
      <alignment horizontal="left" indent="6"/>
    </xf>
    <xf numFmtId="0" fontId="0" fillId="0" borderId="0" xfId="0" applyAlignment="1">
      <alignment horizontal="left" indent="7"/>
    </xf>
    <xf numFmtId="0" fontId="0" fillId="3" borderId="0" xfId="0" applyFill="1" applyAlignment="1">
      <alignment horizontal="left" indent="7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 indent="1"/>
    </xf>
    <xf numFmtId="0" fontId="0" fillId="3" borderId="0" xfId="0" applyFill="1" applyAlignment="1">
      <alignment horizontal="left" indent="1"/>
    </xf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left" indent="3"/>
    </xf>
    <xf numFmtId="164" fontId="4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left" indent="6"/>
    </xf>
    <xf numFmtId="164" fontId="4" fillId="3" borderId="0" xfId="0" applyNumberFormat="1" applyFont="1" applyFill="1" applyAlignment="1">
      <alignment horizontal="right"/>
    </xf>
    <xf numFmtId="4" fontId="4" fillId="3" borderId="0" xfId="0" applyNumberFormat="1" applyFont="1" applyFill="1" applyAlignment="1">
      <alignment horizontal="right"/>
    </xf>
    <xf numFmtId="4" fontId="0" fillId="3" borderId="0" xfId="0" applyNumberForma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3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6" fillId="0" borderId="0" xfId="0" applyFont="1"/>
    <xf numFmtId="165" fontId="0" fillId="0" borderId="0" xfId="2" applyNumberFormat="1" applyFont="1"/>
    <xf numFmtId="44" fontId="0" fillId="0" borderId="0" xfId="1" applyFont="1"/>
    <xf numFmtId="44" fontId="0" fillId="0" borderId="3" xfId="1" applyFont="1" applyBorder="1"/>
    <xf numFmtId="44" fontId="0" fillId="0" borderId="0" xfId="1" applyFont="1" applyBorder="1"/>
    <xf numFmtId="0" fontId="0" fillId="0" borderId="4" xfId="0" applyBorder="1"/>
    <xf numFmtId="44" fontId="0" fillId="0" borderId="4" xfId="1" applyFont="1" applyBorder="1"/>
    <xf numFmtId="0" fontId="1" fillId="4" borderId="3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8" fillId="0" borderId="0" xfId="0" applyFont="1"/>
    <xf numFmtId="0" fontId="9" fillId="0" borderId="0" xfId="0" applyFont="1"/>
    <xf numFmtId="0" fontId="9" fillId="0" borderId="2" xfId="0" applyFont="1" applyBorder="1"/>
    <xf numFmtId="0" fontId="9" fillId="0" borderId="1" xfId="0" applyFont="1" applyBorder="1"/>
    <xf numFmtId="0" fontId="8" fillId="5" borderId="0" xfId="0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9" fillId="6" borderId="0" xfId="0" applyFont="1" applyFill="1" applyAlignment="1">
      <alignment horizontal="left" indent="4"/>
    </xf>
    <xf numFmtId="164" fontId="9" fillId="6" borderId="0" xfId="0" applyNumberFormat="1" applyFont="1" applyFill="1" applyAlignment="1">
      <alignment horizontal="right"/>
    </xf>
    <xf numFmtId="0" fontId="3" fillId="6" borderId="0" xfId="0" applyFont="1" applyFill="1" applyAlignment="1">
      <alignment horizontal="left" indent="6"/>
    </xf>
    <xf numFmtId="164" fontId="3" fillId="6" borderId="0" xfId="0" applyNumberFormat="1" applyFont="1" applyFill="1" applyAlignment="1">
      <alignment horizontal="right"/>
    </xf>
    <xf numFmtId="0" fontId="9" fillId="0" borderId="0" xfId="0" applyFont="1" applyAlignment="1">
      <alignment horizontal="left" indent="7"/>
    </xf>
    <xf numFmtId="164" fontId="9" fillId="0" borderId="0" xfId="0" applyNumberFormat="1" applyFont="1" applyAlignment="1">
      <alignment horizontal="right"/>
    </xf>
    <xf numFmtId="0" fontId="9" fillId="6" borderId="0" xfId="0" applyFont="1" applyFill="1" applyAlignment="1">
      <alignment horizontal="left" indent="7"/>
    </xf>
    <xf numFmtId="164" fontId="4" fillId="6" borderId="0" xfId="0" applyNumberFormat="1" applyFont="1" applyFill="1" applyAlignment="1">
      <alignment horizontal="right"/>
    </xf>
    <xf numFmtId="0" fontId="9" fillId="0" borderId="0" xfId="0" applyFont="1" applyAlignment="1">
      <alignment horizontal="left" indent="4"/>
    </xf>
    <xf numFmtId="0" fontId="9" fillId="6" borderId="0" xfId="0" applyFont="1" applyFill="1" applyAlignment="1">
      <alignment horizontal="left"/>
    </xf>
    <xf numFmtId="0" fontId="9" fillId="6" borderId="0" xfId="0" applyFont="1" applyFill="1" applyAlignment="1">
      <alignment horizontal="left" inden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4" fontId="9" fillId="6" borderId="0" xfId="0" applyNumberFormat="1" applyFont="1" applyFill="1" applyAlignment="1">
      <alignment horizontal="right"/>
    </xf>
    <xf numFmtId="4" fontId="9" fillId="0" borderId="0" xfId="0" applyNumberFormat="1" applyFont="1" applyAlignment="1">
      <alignment horizontal="right"/>
    </xf>
    <xf numFmtId="0" fontId="0" fillId="0" borderId="5" xfId="0" applyBorder="1"/>
    <xf numFmtId="0" fontId="0" fillId="0" borderId="6" xfId="0" applyBorder="1"/>
    <xf numFmtId="44" fontId="0" fillId="0" borderId="0" xfId="0" applyNumberFormat="1"/>
    <xf numFmtId="44" fontId="0" fillId="0" borderId="6" xfId="0" applyNumberFormat="1" applyBorder="1"/>
    <xf numFmtId="44" fontId="0" fillId="0" borderId="5" xfId="0" applyNumberFormat="1" applyBorder="1"/>
    <xf numFmtId="44" fontId="0" fillId="0" borderId="4" xfId="0" applyNumberFormat="1" applyBorder="1"/>
    <xf numFmtId="166" fontId="0" fillId="0" borderId="0" xfId="2" applyNumberFormat="1" applyFont="1"/>
    <xf numFmtId="166" fontId="9" fillId="0" borderId="0" xfId="2" applyNumberFormat="1" applyFont="1"/>
    <xf numFmtId="166" fontId="9" fillId="0" borderId="0" xfId="2" applyNumberFormat="1" applyFont="1" applyBorder="1"/>
    <xf numFmtId="166" fontId="10" fillId="0" borderId="0" xfId="0" applyNumberFormat="1" applyFont="1"/>
    <xf numFmtId="166" fontId="10" fillId="0" borderId="0" xfId="1" applyNumberFormat="1" applyFont="1" applyBorder="1"/>
    <xf numFmtId="44" fontId="9" fillId="0" borderId="0" xfId="1" applyFont="1"/>
    <xf numFmtId="44" fontId="9" fillId="0" borderId="3" xfId="1" applyFont="1" applyBorder="1"/>
    <xf numFmtId="44" fontId="9" fillId="0" borderId="4" xfId="1" applyFont="1" applyBorder="1"/>
    <xf numFmtId="0" fontId="1" fillId="7" borderId="3" xfId="0" applyFont="1" applyFill="1" applyBorder="1"/>
    <xf numFmtId="166" fontId="9" fillId="0" borderId="4" xfId="2" applyNumberFormat="1" applyFont="1" applyBorder="1"/>
    <xf numFmtId="166" fontId="10" fillId="0" borderId="4" xfId="1" applyNumberFormat="1" applyFont="1" applyBorder="1"/>
    <xf numFmtId="166" fontId="9" fillId="0" borderId="0" xfId="0" applyNumberFormat="1" applyFont="1"/>
    <xf numFmtId="44" fontId="9" fillId="0" borderId="0" xfId="0" applyNumberFormat="1" applyFont="1"/>
    <xf numFmtId="44" fontId="10" fillId="0" borderId="0" xfId="0" applyNumberFormat="1" applyFont="1"/>
    <xf numFmtId="44" fontId="9" fillId="0" borderId="6" xfId="0" applyNumberFormat="1" applyFont="1" applyBorder="1"/>
    <xf numFmtId="44" fontId="9" fillId="0" borderId="5" xfId="0" applyNumberFormat="1" applyFont="1" applyBorder="1"/>
    <xf numFmtId="44" fontId="9" fillId="0" borderId="4" xfId="0" applyNumberFormat="1" applyFont="1" applyBorder="1"/>
    <xf numFmtId="166" fontId="9" fillId="0" borderId="3" xfId="0" applyNumberFormat="1" applyFont="1" applyBorder="1"/>
    <xf numFmtId="166" fontId="10" fillId="0" borderId="3" xfId="0" applyNumberFormat="1" applyFont="1" applyBorder="1"/>
    <xf numFmtId="0" fontId="1" fillId="0" borderId="7" xfId="0" applyFont="1" applyBorder="1"/>
    <xf numFmtId="166" fontId="9" fillId="0" borderId="7" xfId="0" applyNumberFormat="1" applyFont="1" applyBorder="1"/>
    <xf numFmtId="166" fontId="10" fillId="0" borderId="7" xfId="0" applyNumberFormat="1" applyFon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3" fillId="8" borderId="0" xfId="0" applyFont="1" applyFill="1"/>
    <xf numFmtId="0" fontId="0" fillId="8" borderId="0" xfId="0" applyFill="1"/>
    <xf numFmtId="166" fontId="1" fillId="0" borderId="0" xfId="0" applyNumberFormat="1" applyFont="1"/>
    <xf numFmtId="166" fontId="0" fillId="0" borderId="0" xfId="0" applyNumberFormat="1"/>
    <xf numFmtId="167" fontId="1" fillId="0" borderId="0" xfId="0" applyNumberFormat="1" applyFont="1"/>
    <xf numFmtId="0" fontId="1" fillId="8" borderId="0" xfId="0" applyFont="1" applyFill="1" applyAlignment="1">
      <alignment horizontal="center"/>
    </xf>
    <xf numFmtId="167" fontId="1" fillId="0" borderId="5" xfId="0" applyNumberFormat="1" applyFont="1" applyBorder="1"/>
    <xf numFmtId="0" fontId="16" fillId="0" borderId="0" xfId="0" applyFont="1"/>
    <xf numFmtId="167" fontId="13" fillId="0" borderId="9" xfId="0" applyNumberFormat="1" applyFont="1" applyBorder="1"/>
    <xf numFmtId="168" fontId="11" fillId="9" borderId="0" xfId="0" applyNumberFormat="1" applyFont="1" applyFill="1"/>
    <xf numFmtId="10" fontId="0" fillId="0" borderId="0" xfId="0" applyNumberFormat="1"/>
    <xf numFmtId="172" fontId="0" fillId="3" borderId="0" xfId="0" applyNumberFormat="1" applyFill="1"/>
    <xf numFmtId="172" fontId="0" fillId="0" borderId="0" xfId="0" applyNumberFormat="1"/>
    <xf numFmtId="10" fontId="0" fillId="0" borderId="0" xfId="2" applyNumberFormat="1" applyFont="1"/>
    <xf numFmtId="2" fontId="0" fillId="0" borderId="0" xfId="0" applyNumberFormat="1"/>
    <xf numFmtId="0" fontId="1" fillId="0" borderId="0" xfId="0" applyFont="1" applyAlignment="1">
      <alignment horizontal="left"/>
    </xf>
    <xf numFmtId="10" fontId="1" fillId="0" borderId="0" xfId="0" applyNumberFormat="1" applyFont="1"/>
    <xf numFmtId="164" fontId="0" fillId="0" borderId="0" xfId="0" applyNumberFormat="1"/>
    <xf numFmtId="10" fontId="1" fillId="9" borderId="0" xfId="2" applyNumberFormat="1" applyFont="1" applyFill="1"/>
    <xf numFmtId="10" fontId="1" fillId="0" borderId="0" xfId="2" applyNumberFormat="1" applyFont="1"/>
    <xf numFmtId="168" fontId="1" fillId="0" borderId="0" xfId="0" applyNumberFormat="1" applyFont="1"/>
    <xf numFmtId="168" fontId="1" fillId="0" borderId="8" xfId="0" applyNumberFormat="1" applyFont="1" applyBorder="1"/>
    <xf numFmtId="168" fontId="0" fillId="0" borderId="0" xfId="0" applyNumberFormat="1"/>
    <xf numFmtId="0" fontId="17" fillId="0" borderId="0" xfId="0" applyFont="1"/>
    <xf numFmtId="1" fontId="0" fillId="0" borderId="0" xfId="0" applyNumberFormat="1" applyAlignment="1">
      <alignment horizontal="center"/>
    </xf>
    <xf numFmtId="170" fontId="0" fillId="0" borderId="0" xfId="0" applyNumberFormat="1"/>
    <xf numFmtId="167" fontId="0" fillId="0" borderId="0" xfId="0" applyNumberFormat="1"/>
    <xf numFmtId="167" fontId="0" fillId="0" borderId="5" xfId="0" applyNumberFormat="1" applyBorder="1"/>
    <xf numFmtId="171" fontId="0" fillId="0" borderId="0" xfId="0" applyNumberFormat="1"/>
    <xf numFmtId="171" fontId="0" fillId="0" borderId="5" xfId="0" applyNumberFormat="1" applyBorder="1"/>
    <xf numFmtId="169" fontId="0" fillId="0" borderId="0" xfId="0" applyNumberFormat="1"/>
    <xf numFmtId="0" fontId="1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168" fontId="1" fillId="0" borderId="0" xfId="0" applyNumberFormat="1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FF6261A-0BCE-2841-8A8F-065D18A351FE}">
  <we:reference id="wa200009404" version="1.0.0.8" store="en-US" storeType="OMEX"/>
  <we:alternateReferences>
    <we:reference id="WA200009404" version="1.0.0.8" store="WA200009404" storeType="OMEX"/>
  </we:alternateReferences>
  <we:properties>
    <we:property name="claude.fileId" value="&quot;4c127b7d-be27-4b1f-93f2-8fcc8666b2d0&quot;"/>
  </we:properties>
  <we:bindings/>
  <we:snapshot xmlns:r="http://schemas.openxmlformats.org/officeDocument/2006/relationships"/>
</we:webextension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1989-A251-4FE0-A449-E0F3918CAB7F}">
  <sheetPr>
    <outlinePr summaryBelow="0" summaryRight="0"/>
  </sheetPr>
  <dimension ref="A1:K58"/>
  <sheetViews>
    <sheetView zoomScale="88" workbookViewId="0">
      <selection activeCell="K24" sqref="K24"/>
    </sheetView>
  </sheetViews>
  <sheetFormatPr baseColWidth="10" defaultColWidth="9.1640625" defaultRowHeight="15" customHeight="1" outlineLevelRow="3" x14ac:dyDescent="0.15"/>
  <cols>
    <col min="1" max="1" width="54.6640625" customWidth="1"/>
    <col min="2" max="11" width="8" customWidth="1"/>
  </cols>
  <sheetData>
    <row r="1" spans="1:11" ht="15" customHeight="1" x14ac:dyDescent="0.15">
      <c r="A1" s="27" t="s">
        <v>60</v>
      </c>
    </row>
    <row r="2" spans="1:11" ht="15" customHeight="1" x14ac:dyDescent="0.15">
      <c r="A2" s="29" t="s">
        <v>61</v>
      </c>
    </row>
    <row r="3" spans="1:11" ht="15" customHeight="1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</row>
    <row r="5" spans="1:11" ht="15" customHeight="1" x14ac:dyDescent="0.15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customHeight="1" x14ac:dyDescent="0.15">
      <c r="A6" s="1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" customHeight="1" x14ac:dyDescent="0.15">
      <c r="A7" s="1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" customHeight="1" x14ac:dyDescent="0.15">
      <c r="A8" s="1"/>
      <c r="B8" s="1" t="s">
        <v>12</v>
      </c>
      <c r="C8" s="1" t="s">
        <v>11</v>
      </c>
      <c r="D8" s="1" t="s">
        <v>10</v>
      </c>
      <c r="E8" s="1" t="s">
        <v>9</v>
      </c>
      <c r="F8" s="1" t="s">
        <v>8</v>
      </c>
      <c r="G8" s="1" t="s">
        <v>7</v>
      </c>
      <c r="H8" s="1" t="s">
        <v>6</v>
      </c>
      <c r="I8" s="1" t="s">
        <v>5</v>
      </c>
      <c r="J8" s="1" t="s">
        <v>4</v>
      </c>
      <c r="K8" s="1" t="s">
        <v>3</v>
      </c>
    </row>
    <row r="9" spans="1:11" ht="15" customHeight="1" x14ac:dyDescent="0.15">
      <c r="A9" s="1"/>
      <c r="B9" s="1"/>
      <c r="C9" s="1" t="s">
        <v>13</v>
      </c>
      <c r="D9" s="1"/>
      <c r="E9" s="1"/>
      <c r="F9" s="1"/>
      <c r="G9" s="1"/>
      <c r="H9" s="1"/>
      <c r="I9" s="1"/>
      <c r="J9" s="1" t="s">
        <v>13</v>
      </c>
      <c r="K9" s="1"/>
    </row>
    <row r="10" spans="1:11" ht="15" customHeight="1" x14ac:dyDescent="0.15">
      <c r="A10" s="2" t="s">
        <v>14</v>
      </c>
      <c r="B10" s="3">
        <v>403.077</v>
      </c>
      <c r="C10" s="3">
        <v>475.63299999999998</v>
      </c>
      <c r="D10" s="3">
        <v>619.22500000000002</v>
      </c>
      <c r="E10" s="3">
        <v>751.02</v>
      </c>
      <c r="F10" s="3">
        <v>890.55399999999997</v>
      </c>
      <c r="G10" s="3">
        <v>1299.0640000000001</v>
      </c>
      <c r="H10" s="3">
        <v>1602.491</v>
      </c>
      <c r="I10" s="3">
        <v>1464.1780000000001</v>
      </c>
      <c r="J10" s="3">
        <v>1393.921</v>
      </c>
      <c r="K10" s="3">
        <v>1467.3209999999999</v>
      </c>
    </row>
    <row r="11" spans="1:11" ht="15" customHeight="1" outlineLevel="1" x14ac:dyDescent="0.15">
      <c r="A11" s="4" t="s">
        <v>15</v>
      </c>
      <c r="B11" s="5">
        <v>274.84399999999999</v>
      </c>
      <c r="C11" s="5">
        <v>318.22500000000002</v>
      </c>
      <c r="D11" s="5">
        <v>415.173</v>
      </c>
      <c r="E11" s="5">
        <v>510.565</v>
      </c>
      <c r="F11" s="5">
        <v>611.70299999999997</v>
      </c>
      <c r="G11" s="5">
        <v>873.82799999999997</v>
      </c>
      <c r="H11" s="5">
        <v>1080.8520000000001</v>
      </c>
      <c r="I11" s="5">
        <v>1005.989</v>
      </c>
      <c r="J11" s="5">
        <v>995.68399999999997</v>
      </c>
      <c r="K11" s="5">
        <v>1054.664</v>
      </c>
    </row>
    <row r="12" spans="1:11" ht="15" customHeight="1" outlineLevel="2" x14ac:dyDescent="0.15">
      <c r="A12" s="7" t="s">
        <v>16</v>
      </c>
      <c r="B12" s="8">
        <v>266.08999999999997</v>
      </c>
      <c r="C12" s="8">
        <v>307.94499999999999</v>
      </c>
      <c r="D12" s="8">
        <v>400.96499999999997</v>
      </c>
      <c r="E12" s="8">
        <v>492.96</v>
      </c>
      <c r="F12" s="8">
        <v>577.77599999999995</v>
      </c>
      <c r="G12" s="8">
        <v>828.71699999999998</v>
      </c>
      <c r="H12" s="8">
        <v>1031.6099999999999</v>
      </c>
      <c r="I12" s="8">
        <v>947.38599999999997</v>
      </c>
      <c r="J12" s="8">
        <v>911.77700000000004</v>
      </c>
      <c r="K12" s="8">
        <v>962.35400000000004</v>
      </c>
    </row>
    <row r="13" spans="1:11" ht="15" customHeight="1" outlineLevel="2" collapsed="1" x14ac:dyDescent="0.15">
      <c r="A13" s="9" t="s">
        <v>17</v>
      </c>
      <c r="B13" s="5">
        <v>8.7539999999999996</v>
      </c>
      <c r="C13" s="5">
        <v>10.28</v>
      </c>
      <c r="D13" s="5">
        <v>14.208</v>
      </c>
      <c r="E13" s="5">
        <v>17.605</v>
      </c>
      <c r="F13" s="5">
        <v>33.927</v>
      </c>
      <c r="G13" s="5">
        <v>45.110999999999997</v>
      </c>
      <c r="H13" s="5">
        <v>49.241999999999997</v>
      </c>
      <c r="I13" s="5">
        <v>58.603000000000002</v>
      </c>
      <c r="J13" s="5">
        <v>83.906999999999996</v>
      </c>
      <c r="K13" s="5">
        <v>92.31</v>
      </c>
    </row>
    <row r="14" spans="1:11" ht="15" hidden="1" customHeight="1" outlineLevel="3" x14ac:dyDescent="0.15">
      <c r="A14" s="11" t="s">
        <v>18</v>
      </c>
      <c r="B14" s="8">
        <v>5.766</v>
      </c>
      <c r="C14" s="8">
        <v>7.2939999999999996</v>
      </c>
      <c r="D14" s="8">
        <v>8.1430000000000007</v>
      </c>
      <c r="E14" s="8">
        <v>11.260999999999999</v>
      </c>
      <c r="F14" s="8">
        <v>16.344000000000001</v>
      </c>
      <c r="G14" s="8">
        <v>24.425999999999998</v>
      </c>
      <c r="H14" s="8">
        <v>27.704999999999998</v>
      </c>
      <c r="I14" s="8">
        <v>32.094000000000001</v>
      </c>
      <c r="J14" s="8">
        <v>39.378999999999998</v>
      </c>
      <c r="K14" s="8">
        <v>50.28</v>
      </c>
    </row>
    <row r="15" spans="1:11" ht="15" hidden="1" customHeight="1" outlineLevel="3" x14ac:dyDescent="0.15">
      <c r="A15" s="10" t="s">
        <v>19</v>
      </c>
      <c r="B15" s="12">
        <v>2.988</v>
      </c>
      <c r="C15" s="12">
        <v>2.9860000000000002</v>
      </c>
      <c r="D15" s="12">
        <v>6.0650000000000004</v>
      </c>
      <c r="E15" s="12">
        <v>6.3440000000000003</v>
      </c>
      <c r="F15" s="12">
        <v>17.582999999999998</v>
      </c>
      <c r="G15" s="12">
        <v>20.684999999999999</v>
      </c>
      <c r="H15" s="12">
        <v>21.536999999999999</v>
      </c>
      <c r="I15" s="12">
        <v>26.509</v>
      </c>
      <c r="J15" s="12">
        <v>44.527999999999999</v>
      </c>
      <c r="K15" s="12">
        <v>42.03</v>
      </c>
    </row>
    <row r="16" spans="1:11" ht="15" customHeight="1" x14ac:dyDescent="0.15">
      <c r="A16" s="2" t="s">
        <v>20</v>
      </c>
      <c r="B16" s="3">
        <v>128.233</v>
      </c>
      <c r="C16" s="3">
        <v>157.40799999999999</v>
      </c>
      <c r="D16" s="3">
        <v>204.05199999999999</v>
      </c>
      <c r="E16" s="3">
        <v>240.45500000000001</v>
      </c>
      <c r="F16" s="3">
        <v>278.851</v>
      </c>
      <c r="G16" s="3">
        <v>425.23599999999999</v>
      </c>
      <c r="H16" s="3">
        <v>521.63900000000001</v>
      </c>
      <c r="I16" s="3">
        <v>458.18900000000002</v>
      </c>
      <c r="J16" s="3">
        <v>398.23700000000002</v>
      </c>
      <c r="K16" s="3">
        <v>412.65699999999998</v>
      </c>
    </row>
    <row r="17" spans="1:11" ht="15" customHeight="1" outlineLevel="1" x14ac:dyDescent="0.15">
      <c r="A17" s="4" t="s">
        <v>21</v>
      </c>
      <c r="B17" s="5">
        <v>69.248000000000005</v>
      </c>
      <c r="C17" s="5">
        <v>84.665000000000006</v>
      </c>
      <c r="D17" s="5">
        <v>105.614</v>
      </c>
      <c r="E17" s="5">
        <v>123.58199999999999</v>
      </c>
      <c r="F17" s="5">
        <v>147.233</v>
      </c>
      <c r="G17" s="5">
        <v>214.71899999999999</v>
      </c>
      <c r="H17" s="5">
        <v>263.55500000000001</v>
      </c>
      <c r="I17" s="5">
        <v>275.99299999999999</v>
      </c>
      <c r="J17" s="5">
        <v>315.76600000000002</v>
      </c>
      <c r="K17" s="5">
        <v>337.411</v>
      </c>
    </row>
    <row r="18" spans="1:11" ht="15" customHeight="1" outlineLevel="2" x14ac:dyDescent="0.15">
      <c r="A18" s="7" t="s">
        <v>22</v>
      </c>
      <c r="B18" s="8">
        <v>18.459</v>
      </c>
      <c r="C18" s="8">
        <v>21.827000000000002</v>
      </c>
      <c r="D18" s="8">
        <v>28.661999999999999</v>
      </c>
      <c r="E18" s="8">
        <v>31.789000000000001</v>
      </c>
      <c r="F18" s="8">
        <v>34.292000000000002</v>
      </c>
      <c r="G18" s="8">
        <v>46.567</v>
      </c>
      <c r="H18" s="8">
        <v>56.204999999999998</v>
      </c>
      <c r="I18" s="8">
        <v>53.179000000000002</v>
      </c>
      <c r="J18" s="8">
        <v>60.314</v>
      </c>
      <c r="K18" s="8">
        <v>69.441000000000003</v>
      </c>
    </row>
    <row r="19" spans="1:11" ht="15" customHeight="1" outlineLevel="2" x14ac:dyDescent="0.15">
      <c r="A19" s="6" t="s">
        <v>23</v>
      </c>
      <c r="B19" s="12">
        <v>50.789000000000001</v>
      </c>
      <c r="C19" s="12">
        <v>62.838000000000001</v>
      </c>
      <c r="D19" s="12">
        <v>76.951999999999998</v>
      </c>
      <c r="E19" s="12">
        <v>91.793000000000006</v>
      </c>
      <c r="F19" s="12">
        <v>112.941</v>
      </c>
      <c r="G19" s="12">
        <v>168.15199999999999</v>
      </c>
      <c r="H19" s="12">
        <v>207.35</v>
      </c>
      <c r="I19" s="12">
        <v>222.81399999999999</v>
      </c>
      <c r="J19" s="12">
        <v>255.452</v>
      </c>
      <c r="K19" s="12">
        <v>267.97000000000003</v>
      </c>
    </row>
    <row r="20" spans="1:11" ht="15" customHeight="1" outlineLevel="1" x14ac:dyDescent="0.15">
      <c r="A20" s="14" t="s">
        <v>24</v>
      </c>
      <c r="B20" s="8">
        <v>4.8330000000000002</v>
      </c>
      <c r="C20" s="8">
        <v>5.9039999999999999</v>
      </c>
      <c r="D20" s="8">
        <v>4.6210000000000004</v>
      </c>
      <c r="E20" s="8">
        <v>4.0640000000000001</v>
      </c>
      <c r="F20" s="8">
        <v>6.8869999999999996</v>
      </c>
      <c r="G20" s="8">
        <v>13.603</v>
      </c>
      <c r="H20" s="8">
        <v>11.387</v>
      </c>
      <c r="I20" s="8">
        <v>16.114000000000001</v>
      </c>
      <c r="J20" s="8">
        <v>18.276</v>
      </c>
      <c r="K20" s="8">
        <v>10.071</v>
      </c>
    </row>
    <row r="21" spans="1:11" ht="15" customHeight="1" x14ac:dyDescent="0.15">
      <c r="A21" s="15" t="s">
        <v>25</v>
      </c>
      <c r="B21" s="5">
        <v>54.152000000000001</v>
      </c>
      <c r="C21" s="5">
        <v>66.838999999999999</v>
      </c>
      <c r="D21" s="5">
        <v>93.816999999999993</v>
      </c>
      <c r="E21" s="5">
        <v>112.809</v>
      </c>
      <c r="F21" s="5">
        <v>124.73099999999999</v>
      </c>
      <c r="G21" s="5">
        <v>196.91399999999999</v>
      </c>
      <c r="H21" s="5">
        <v>246.697</v>
      </c>
      <c r="I21" s="5">
        <v>166.08199999999999</v>
      </c>
      <c r="J21" s="5">
        <v>64.194999999999993</v>
      </c>
      <c r="K21" s="5">
        <v>65.174999999999997</v>
      </c>
    </row>
    <row r="22" spans="1:11" ht="15" customHeight="1" outlineLevel="1" x14ac:dyDescent="0.15">
      <c r="A22" s="16" t="s">
        <v>26</v>
      </c>
      <c r="B22" s="3">
        <v>-0.36299999999999999</v>
      </c>
      <c r="C22" s="3">
        <v>-0.36</v>
      </c>
      <c r="D22" s="3">
        <v>-0.58299999999999996</v>
      </c>
      <c r="E22" s="3">
        <v>-1.0669999999999999</v>
      </c>
      <c r="F22" s="3">
        <v>-0.32500000000000001</v>
      </c>
      <c r="G22" s="3">
        <v>-0.371</v>
      </c>
      <c r="H22" s="3">
        <v>-3.9940000000000002</v>
      </c>
      <c r="I22" s="3">
        <v>-2.1080000000000001</v>
      </c>
      <c r="J22" s="3">
        <v>2.613</v>
      </c>
      <c r="K22" s="3">
        <v>2.3530000000000002</v>
      </c>
    </row>
    <row r="23" spans="1:11" ht="15" customHeight="1" outlineLevel="2" x14ac:dyDescent="0.15">
      <c r="A23" s="6" t="s">
        <v>27</v>
      </c>
      <c r="B23" s="17">
        <v>-0.36299999999999999</v>
      </c>
      <c r="C23" s="17">
        <v>-0.36</v>
      </c>
      <c r="D23" s="17">
        <v>-0.58299999999999996</v>
      </c>
      <c r="E23" s="17">
        <v>-1.0669999999999999</v>
      </c>
      <c r="F23" s="17">
        <v>-0.32500000000000001</v>
      </c>
      <c r="G23" s="17">
        <v>-0.371</v>
      </c>
      <c r="H23" s="17">
        <v>-3.9940000000000002</v>
      </c>
      <c r="I23" s="17">
        <v>-2.1080000000000001</v>
      </c>
      <c r="J23" s="12">
        <v>2.613</v>
      </c>
      <c r="K23" s="12">
        <v>2.3530000000000002</v>
      </c>
    </row>
    <row r="24" spans="1:11" ht="15" customHeight="1" outlineLevel="1" x14ac:dyDescent="0.15">
      <c r="A24" s="16" t="s">
        <v>28</v>
      </c>
      <c r="B24" s="3">
        <v>2.0880000000000001</v>
      </c>
      <c r="C24" s="3">
        <v>2.3959999999999999</v>
      </c>
      <c r="D24" s="3">
        <v>3.0590000000000002</v>
      </c>
      <c r="E24" s="3">
        <v>3.173</v>
      </c>
      <c r="F24" s="3">
        <v>9.2940000000000005</v>
      </c>
      <c r="G24" s="3">
        <v>8.1620000000000008</v>
      </c>
      <c r="H24" s="3">
        <v>8.9390000000000001</v>
      </c>
      <c r="I24" s="3">
        <v>26.094999999999999</v>
      </c>
      <c r="J24" s="3">
        <v>63.402000000000001</v>
      </c>
      <c r="K24" s="3">
        <v>58.423999999999999</v>
      </c>
    </row>
    <row r="25" spans="1:11" ht="15" customHeight="1" outlineLevel="2" x14ac:dyDescent="0.15">
      <c r="A25" s="6" t="s">
        <v>29</v>
      </c>
      <c r="B25" s="12">
        <v>2.0880000000000001</v>
      </c>
      <c r="C25" s="12">
        <v>2.3959999999999999</v>
      </c>
      <c r="D25" s="12">
        <v>3.0590000000000002</v>
      </c>
      <c r="E25" s="12">
        <v>3.173</v>
      </c>
      <c r="F25" s="12">
        <v>9.2940000000000005</v>
      </c>
      <c r="G25" s="12">
        <v>8.1620000000000008</v>
      </c>
      <c r="H25" s="12">
        <v>8.9390000000000001</v>
      </c>
      <c r="I25" s="12">
        <v>26.094999999999999</v>
      </c>
      <c r="J25" s="12">
        <v>63.402000000000001</v>
      </c>
      <c r="K25" s="12">
        <v>58.423999999999999</v>
      </c>
    </row>
    <row r="26" spans="1:11" ht="15" customHeight="1" outlineLevel="1" x14ac:dyDescent="0.15">
      <c r="A26" s="16" t="s">
        <v>30</v>
      </c>
      <c r="B26" s="3">
        <v>8.6110000000000007</v>
      </c>
      <c r="C26" s="3">
        <v>1.4470000000000001</v>
      </c>
      <c r="D26" s="3">
        <v>2.1</v>
      </c>
      <c r="E26" s="2"/>
      <c r="F26" s="3">
        <v>10.582000000000001</v>
      </c>
      <c r="G26" s="3">
        <v>0</v>
      </c>
      <c r="H26" s="3">
        <v>0</v>
      </c>
      <c r="I26" s="3">
        <v>-0.78400000000000003</v>
      </c>
      <c r="J26" s="3">
        <v>2.3940000000000001</v>
      </c>
      <c r="K26" s="3">
        <v>585.39300000000003</v>
      </c>
    </row>
    <row r="27" spans="1:11" ht="15" customHeight="1" outlineLevel="2" collapsed="1" x14ac:dyDescent="0.15">
      <c r="A27" s="9" t="s">
        <v>31</v>
      </c>
      <c r="B27" s="15"/>
      <c r="C27" s="15"/>
      <c r="D27" s="15"/>
      <c r="E27" s="15"/>
      <c r="F27" s="15"/>
      <c r="G27" s="15"/>
      <c r="H27" s="15"/>
      <c r="I27" s="15"/>
      <c r="J27" s="5">
        <v>0</v>
      </c>
      <c r="K27" s="5">
        <v>570.82399999999996</v>
      </c>
    </row>
    <row r="28" spans="1:11" ht="15" hidden="1" customHeight="1" outlineLevel="3" x14ac:dyDescent="0.15">
      <c r="A28" s="11" t="s">
        <v>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557.30700000000002</v>
      </c>
    </row>
    <row r="29" spans="1:11" ht="15" hidden="1" customHeight="1" outlineLevel="3" x14ac:dyDescent="0.15">
      <c r="A29" s="10" t="s">
        <v>33</v>
      </c>
      <c r="B29" s="18"/>
      <c r="C29" s="18"/>
      <c r="D29" s="18"/>
      <c r="E29" s="18"/>
      <c r="F29" s="18"/>
      <c r="G29" s="18"/>
      <c r="H29" s="18"/>
      <c r="I29" s="18"/>
      <c r="J29" s="12">
        <v>0</v>
      </c>
      <c r="K29" s="12">
        <v>13.516999999999999</v>
      </c>
    </row>
    <row r="30" spans="1:11" ht="15" customHeight="1" outlineLevel="2" x14ac:dyDescent="0.15">
      <c r="A30" s="7" t="s">
        <v>34</v>
      </c>
      <c r="B30" s="8">
        <v>5.9109999999999996</v>
      </c>
      <c r="C30" s="8">
        <v>1.4470000000000001</v>
      </c>
      <c r="D30" s="8">
        <v>0</v>
      </c>
      <c r="E30" s="8">
        <v>0</v>
      </c>
      <c r="F30" s="8">
        <v>10.582000000000001</v>
      </c>
      <c r="G30" s="8">
        <v>0</v>
      </c>
      <c r="H30" s="8">
        <v>0</v>
      </c>
      <c r="I30" s="8">
        <v>5.9909999999999997</v>
      </c>
      <c r="J30" s="8">
        <v>6.5250000000000004</v>
      </c>
      <c r="K30" s="8">
        <v>17.283999999999999</v>
      </c>
    </row>
    <row r="31" spans="1:11" ht="15" customHeight="1" outlineLevel="2" x14ac:dyDescent="0.15">
      <c r="A31" s="6" t="s">
        <v>35</v>
      </c>
      <c r="B31" s="12">
        <v>2.7</v>
      </c>
      <c r="C31" s="18"/>
      <c r="D31" s="12">
        <v>2.1</v>
      </c>
      <c r="E31" s="18"/>
      <c r="F31" s="18"/>
      <c r="G31" s="18"/>
      <c r="H31" s="18"/>
      <c r="I31" s="18"/>
      <c r="J31" s="12">
        <v>4.3289999999999997</v>
      </c>
      <c r="K31" s="12">
        <v>2.0419999999999998</v>
      </c>
    </row>
    <row r="32" spans="1:11" ht="15" customHeight="1" outlineLevel="2" collapsed="1" x14ac:dyDescent="0.15">
      <c r="A32" s="19" t="s">
        <v>36</v>
      </c>
      <c r="B32" s="2"/>
      <c r="C32" s="2"/>
      <c r="D32" s="2"/>
      <c r="E32" s="2"/>
      <c r="F32" s="2"/>
      <c r="G32" s="2"/>
      <c r="H32" s="2"/>
      <c r="I32" s="3">
        <v>6.7750000000000004</v>
      </c>
      <c r="J32" s="3">
        <v>8.4600000000000009</v>
      </c>
      <c r="K32" s="3">
        <v>4.7569999999999997</v>
      </c>
    </row>
    <row r="33" spans="1:11" ht="15" hidden="1" customHeight="1" outlineLevel="3" x14ac:dyDescent="0.15">
      <c r="A33" s="10" t="s">
        <v>37</v>
      </c>
      <c r="B33" s="18"/>
      <c r="C33" s="18"/>
      <c r="D33" s="18"/>
      <c r="E33" s="18"/>
      <c r="F33" s="18"/>
      <c r="G33" s="18"/>
      <c r="H33" s="18"/>
      <c r="I33" s="12">
        <v>6.7750000000000004</v>
      </c>
      <c r="J33" s="12">
        <v>8.4600000000000009</v>
      </c>
      <c r="K33" s="12">
        <v>4.7569999999999997</v>
      </c>
    </row>
    <row r="34" spans="1:11" ht="15" customHeight="1" x14ac:dyDescent="0.15">
      <c r="A34" s="2" t="s">
        <v>38</v>
      </c>
      <c r="B34" s="3">
        <v>43.09</v>
      </c>
      <c r="C34" s="3">
        <v>62.636000000000003</v>
      </c>
      <c r="D34" s="3">
        <v>88.075000000000003</v>
      </c>
      <c r="E34" s="3">
        <v>108.569</v>
      </c>
      <c r="F34" s="3">
        <v>104.53</v>
      </c>
      <c r="G34" s="3">
        <v>188.381</v>
      </c>
      <c r="H34" s="3">
        <v>233.76400000000001</v>
      </c>
      <c r="I34" s="3">
        <v>138.66300000000001</v>
      </c>
      <c r="J34" s="3">
        <v>1.012</v>
      </c>
      <c r="K34" s="3">
        <v>-576.28899999999999</v>
      </c>
    </row>
    <row r="35" spans="1:11" ht="15" customHeight="1" outlineLevel="1" x14ac:dyDescent="0.15">
      <c r="A35" s="4" t="s">
        <v>39</v>
      </c>
      <c r="B35" s="5">
        <v>7.415</v>
      </c>
      <c r="C35" s="5">
        <v>19.452999999999999</v>
      </c>
      <c r="D35" s="5">
        <v>2.7080000000000002</v>
      </c>
      <c r="E35" s="5">
        <v>14.099</v>
      </c>
      <c r="F35" s="5">
        <v>12.784000000000001</v>
      </c>
      <c r="G35" s="5">
        <v>24.562999999999999</v>
      </c>
      <c r="H35" s="5">
        <v>28.486000000000001</v>
      </c>
      <c r="I35" s="5">
        <v>17.817</v>
      </c>
      <c r="J35" s="5">
        <v>-5.5</v>
      </c>
      <c r="K35" s="5">
        <v>-31.568999999999999</v>
      </c>
    </row>
    <row r="36" spans="1:11" ht="15" customHeight="1" outlineLevel="2" x14ac:dyDescent="0.15">
      <c r="A36" s="7" t="s">
        <v>40</v>
      </c>
      <c r="B36" s="8">
        <v>4.423</v>
      </c>
      <c r="C36" s="8">
        <v>14.131</v>
      </c>
      <c r="D36" s="8">
        <v>10.933999999999999</v>
      </c>
      <c r="E36" s="8">
        <v>16.925999999999998</v>
      </c>
      <c r="F36" s="8">
        <v>19.651</v>
      </c>
      <c r="G36" s="8">
        <v>30.56</v>
      </c>
      <c r="H36" s="8">
        <v>37.994</v>
      </c>
      <c r="I36" s="8">
        <v>19.831</v>
      </c>
      <c r="J36" s="8">
        <v>13.032</v>
      </c>
      <c r="K36" s="8">
        <v>9.4619999999999997</v>
      </c>
    </row>
    <row r="37" spans="1:11" ht="15" customHeight="1" outlineLevel="2" x14ac:dyDescent="0.15">
      <c r="A37" s="6" t="s">
        <v>41</v>
      </c>
      <c r="B37" s="12">
        <v>6.008</v>
      </c>
      <c r="C37" s="12">
        <v>8.1479999999999997</v>
      </c>
      <c r="D37" s="12">
        <v>7.2480000000000002</v>
      </c>
      <c r="E37" s="12">
        <v>7.5670000000000002</v>
      </c>
      <c r="F37" s="12">
        <v>8.0429999999999993</v>
      </c>
      <c r="G37" s="12">
        <v>8.6170000000000009</v>
      </c>
      <c r="H37" s="12">
        <v>11.964</v>
      </c>
      <c r="I37" s="12">
        <v>5.85</v>
      </c>
      <c r="J37" s="12">
        <v>4.6459999999999999</v>
      </c>
      <c r="K37" s="12">
        <v>3.823</v>
      </c>
    </row>
    <row r="38" spans="1:11" ht="15" customHeight="1" outlineLevel="2" x14ac:dyDescent="0.15">
      <c r="A38" s="7" t="s">
        <v>42</v>
      </c>
      <c r="B38" s="20">
        <v>-2.8849999999999998</v>
      </c>
      <c r="C38" s="20">
        <v>-0.53600000000000003</v>
      </c>
      <c r="D38" s="20">
        <v>-12.132999999999999</v>
      </c>
      <c r="E38" s="20">
        <v>-10.571999999999999</v>
      </c>
      <c r="F38" s="20">
        <v>-14.215999999999999</v>
      </c>
      <c r="G38" s="20">
        <v>-14.47</v>
      </c>
      <c r="H38" s="20">
        <v>-20.283999999999999</v>
      </c>
      <c r="I38" s="20">
        <v>-7.4749999999999996</v>
      </c>
      <c r="J38" s="20">
        <v>-23.148</v>
      </c>
      <c r="K38" s="20">
        <v>-41.838000000000001</v>
      </c>
    </row>
    <row r="39" spans="1:11" ht="15" customHeight="1" outlineLevel="2" x14ac:dyDescent="0.15">
      <c r="A39" s="6" t="s">
        <v>43</v>
      </c>
      <c r="B39" s="17">
        <v>-0.13100000000000001</v>
      </c>
      <c r="C39" s="17">
        <v>-0.64100000000000001</v>
      </c>
      <c r="D39" s="17">
        <v>-0.52600000000000002</v>
      </c>
      <c r="E39" s="12">
        <v>0.17799999999999999</v>
      </c>
      <c r="F39" s="17">
        <v>-0.69399999999999995</v>
      </c>
      <c r="G39" s="17">
        <v>-0.14399999999999999</v>
      </c>
      <c r="H39" s="17">
        <v>-1.1879999999999999</v>
      </c>
      <c r="I39" s="17">
        <v>-0.38900000000000001</v>
      </c>
      <c r="J39" s="17">
        <v>-0.03</v>
      </c>
      <c r="K39" s="17">
        <v>-3.016</v>
      </c>
    </row>
    <row r="40" spans="1:11" ht="15" customHeight="1" outlineLevel="2" x14ac:dyDescent="0.15">
      <c r="A40" s="7" t="s">
        <v>44</v>
      </c>
      <c r="B40" s="8">
        <v>0</v>
      </c>
      <c r="C40" s="8">
        <v>1.649</v>
      </c>
      <c r="D40" s="8">
        <v>2.8149999999999999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5" customHeight="1" x14ac:dyDescent="0.15">
      <c r="A41" s="15" t="s">
        <v>45</v>
      </c>
      <c r="B41" s="5">
        <v>35.674999999999997</v>
      </c>
      <c r="C41" s="5">
        <v>43.183</v>
      </c>
      <c r="D41" s="5">
        <v>85.367000000000004</v>
      </c>
      <c r="E41" s="5">
        <v>94.47</v>
      </c>
      <c r="F41" s="5">
        <v>91.745999999999995</v>
      </c>
      <c r="G41" s="5">
        <v>163.81800000000001</v>
      </c>
      <c r="H41" s="5">
        <v>205.27799999999999</v>
      </c>
      <c r="I41" s="5">
        <v>120.846</v>
      </c>
      <c r="J41" s="5">
        <v>6.5119999999999996</v>
      </c>
      <c r="K41" s="5">
        <v>-544.72</v>
      </c>
    </row>
    <row r="42" spans="1:11" ht="15" customHeight="1" outlineLevel="1" x14ac:dyDescent="0.15">
      <c r="A42" s="14" t="s">
        <v>46</v>
      </c>
      <c r="B42" s="8">
        <v>0</v>
      </c>
      <c r="C42" s="8">
        <v>5.5E-2</v>
      </c>
      <c r="D42" s="8">
        <v>1.327</v>
      </c>
      <c r="E42" s="8">
        <v>1.4370000000000001</v>
      </c>
      <c r="F42" s="8">
        <v>1.0720000000000001</v>
      </c>
      <c r="G42" s="8">
        <v>0</v>
      </c>
      <c r="H42" s="8">
        <v>0</v>
      </c>
      <c r="I42" s="8">
        <v>0</v>
      </c>
      <c r="J42" s="20">
        <v>-3.7999999999999999E-2</v>
      </c>
      <c r="K42" s="20">
        <v>-0.14099999999999999</v>
      </c>
    </row>
    <row r="43" spans="1:11" ht="15" customHeight="1" x14ac:dyDescent="0.15">
      <c r="A43" s="15" t="s">
        <v>47</v>
      </c>
      <c r="B43" s="5">
        <v>35.674999999999997</v>
      </c>
      <c r="C43" s="5">
        <v>43.128</v>
      </c>
      <c r="D43" s="5">
        <v>84.04</v>
      </c>
      <c r="E43" s="5">
        <v>93.033000000000001</v>
      </c>
      <c r="F43" s="5">
        <v>90.674000000000007</v>
      </c>
      <c r="G43" s="5">
        <v>163.81800000000001</v>
      </c>
      <c r="H43" s="5">
        <v>205.27799999999999</v>
      </c>
      <c r="I43" s="5">
        <v>120.846</v>
      </c>
      <c r="J43" s="5">
        <v>6.55</v>
      </c>
      <c r="K43" s="5">
        <v>-544.57899999999995</v>
      </c>
    </row>
    <row r="44" spans="1:11" ht="15" customHeight="1" outlineLevel="1" x14ac:dyDescent="0.15">
      <c r="A44" s="14" t="s">
        <v>48</v>
      </c>
      <c r="B44" s="8">
        <v>35.674999999999997</v>
      </c>
      <c r="C44" s="8">
        <v>43.128</v>
      </c>
      <c r="D44" s="8">
        <v>84.04</v>
      </c>
      <c r="E44" s="8">
        <v>93.033000000000001</v>
      </c>
      <c r="F44" s="8">
        <v>90.674000000000007</v>
      </c>
      <c r="G44" s="8">
        <v>163.81800000000001</v>
      </c>
      <c r="H44" s="8">
        <v>205.27799999999999</v>
      </c>
      <c r="I44" s="8">
        <v>120.846</v>
      </c>
      <c r="J44" s="8">
        <v>6.55</v>
      </c>
      <c r="K44" s="20">
        <v>-544.57899999999995</v>
      </c>
    </row>
    <row r="45" spans="1:11" ht="15" customHeight="1" x14ac:dyDescent="0.15">
      <c r="A45" s="15" t="s">
        <v>49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</row>
    <row r="46" spans="1:11" ht="15" customHeight="1" outlineLevel="1" x14ac:dyDescent="0.15">
      <c r="A46" s="14" t="s">
        <v>50</v>
      </c>
      <c r="B46" s="22">
        <v>1.1032169999999999</v>
      </c>
      <c r="C46" s="22">
        <v>1.139473</v>
      </c>
      <c r="D46" s="22">
        <v>2.1950409999999998</v>
      </c>
      <c r="E46" s="22">
        <v>2.3760180000000002</v>
      </c>
      <c r="F46" s="22">
        <v>2.4038970000000002</v>
      </c>
      <c r="G46" s="22">
        <v>3.866733</v>
      </c>
      <c r="H46" s="22">
        <v>4.8432899999999997</v>
      </c>
      <c r="I46" s="22">
        <v>2.8350580000000001</v>
      </c>
      <c r="J46" s="22">
        <v>0.197181</v>
      </c>
      <c r="K46" s="21">
        <v>-3.226286</v>
      </c>
    </row>
    <row r="47" spans="1:11" ht="15" customHeight="1" outlineLevel="1" x14ac:dyDescent="0.15">
      <c r="A47" s="4" t="s">
        <v>51</v>
      </c>
      <c r="B47" s="23">
        <v>0.97</v>
      </c>
      <c r="C47" s="23">
        <v>1.1539999999999999</v>
      </c>
      <c r="D47" s="23">
        <v>2.2229999999999999</v>
      </c>
      <c r="E47" s="23">
        <v>2.427</v>
      </c>
      <c r="F47" s="23">
        <v>2.254</v>
      </c>
      <c r="G47" s="23">
        <v>3.8984000000000001</v>
      </c>
      <c r="H47" s="23">
        <v>4.8606999999999996</v>
      </c>
      <c r="I47" s="23">
        <v>2.8565</v>
      </c>
      <c r="J47" s="23">
        <v>0.15720000000000001</v>
      </c>
      <c r="K47" s="23">
        <v>-13.0335</v>
      </c>
    </row>
    <row r="48" spans="1:11" ht="15" customHeight="1" outlineLevel="2" x14ac:dyDescent="0.15">
      <c r="A48" s="7" t="s">
        <v>52</v>
      </c>
      <c r="B48" s="22">
        <v>36.798999999999999</v>
      </c>
      <c r="C48" s="22">
        <v>37.372999999999998</v>
      </c>
      <c r="D48" s="22">
        <v>37.805</v>
      </c>
      <c r="E48" s="22">
        <v>38.332999999999998</v>
      </c>
      <c r="F48" s="22">
        <v>40.228999999999999</v>
      </c>
      <c r="G48" s="22">
        <v>42.021999999999998</v>
      </c>
      <c r="H48" s="22">
        <v>42.231999999999999</v>
      </c>
      <c r="I48" s="22">
        <v>42.305</v>
      </c>
      <c r="J48" s="22">
        <v>41.680999999999997</v>
      </c>
      <c r="K48" s="22">
        <v>41.783000000000001</v>
      </c>
    </row>
    <row r="49" spans="1:11" ht="15" customHeight="1" outlineLevel="2" x14ac:dyDescent="0.15">
      <c r="A49" s="6" t="s">
        <v>53</v>
      </c>
      <c r="B49" s="24">
        <v>36.890999999999998</v>
      </c>
      <c r="C49" s="24">
        <v>37.606999999999999</v>
      </c>
      <c r="D49" s="24">
        <v>37.991</v>
      </c>
      <c r="E49" s="24">
        <v>38.558999999999997</v>
      </c>
      <c r="F49" s="24">
        <v>41.802</v>
      </c>
      <c r="G49" s="24">
        <v>42.12</v>
      </c>
      <c r="H49" s="24">
        <v>42.27</v>
      </c>
      <c r="I49" s="24">
        <v>41.954000000000001</v>
      </c>
      <c r="J49" s="24">
        <v>41.683999999999997</v>
      </c>
      <c r="K49" s="24">
        <v>41.802</v>
      </c>
    </row>
    <row r="50" spans="1:11" ht="15" customHeight="1" outlineLevel="1" x14ac:dyDescent="0.15">
      <c r="A50" s="16" t="s">
        <v>54</v>
      </c>
      <c r="B50" s="25">
        <v>0.94</v>
      </c>
      <c r="C50" s="25">
        <v>1.1133</v>
      </c>
      <c r="D50" s="25">
        <v>2.1573000000000002</v>
      </c>
      <c r="E50" s="25">
        <v>2.3759999999999999</v>
      </c>
      <c r="F50" s="25">
        <v>2.2223999999999999</v>
      </c>
      <c r="G50" s="25">
        <v>3.8666999999999998</v>
      </c>
      <c r="H50" s="25">
        <v>4.8433000000000002</v>
      </c>
      <c r="I50" s="25">
        <v>2.8479999999999999</v>
      </c>
      <c r="J50" s="25">
        <v>0.157</v>
      </c>
      <c r="K50" s="25">
        <v>-13.0335</v>
      </c>
    </row>
    <row r="51" spans="1:11" ht="15" customHeight="1" outlineLevel="2" x14ac:dyDescent="0.15">
      <c r="A51" s="6" t="s">
        <v>55</v>
      </c>
      <c r="B51" s="24">
        <v>37.801000000000002</v>
      </c>
      <c r="C51" s="24">
        <v>38.738</v>
      </c>
      <c r="D51" s="24">
        <v>38.956000000000003</v>
      </c>
      <c r="E51" s="24">
        <v>39.155000000000001</v>
      </c>
      <c r="F51" s="24">
        <v>40.801000000000002</v>
      </c>
      <c r="G51" s="24">
        <v>42.366</v>
      </c>
      <c r="H51" s="24">
        <v>42.384</v>
      </c>
      <c r="I51" s="24">
        <v>42.432000000000002</v>
      </c>
      <c r="J51" s="24">
        <v>41.716999999999999</v>
      </c>
      <c r="K51" s="24">
        <v>41.783000000000001</v>
      </c>
    </row>
    <row r="52" spans="1:11" ht="15" customHeight="1" outlineLevel="2" x14ac:dyDescent="0.15">
      <c r="A52" s="7" t="s">
        <v>53</v>
      </c>
      <c r="B52" s="22">
        <v>36.890999999999998</v>
      </c>
      <c r="C52" s="22">
        <v>37.606999999999999</v>
      </c>
      <c r="D52" s="22">
        <v>37.991</v>
      </c>
      <c r="E52" s="22">
        <v>38.558999999999997</v>
      </c>
      <c r="F52" s="22">
        <v>41.802</v>
      </c>
      <c r="G52" s="22">
        <v>42.12</v>
      </c>
      <c r="H52" s="22">
        <v>42.27</v>
      </c>
      <c r="I52" s="22">
        <v>41.954000000000001</v>
      </c>
      <c r="J52" s="22">
        <v>41.683999999999997</v>
      </c>
      <c r="K52" s="22">
        <v>41.802</v>
      </c>
    </row>
    <row r="53" spans="1:11" ht="15" customHeight="1" outlineLevel="1" x14ac:dyDescent="0.15">
      <c r="A53" s="13" t="s">
        <v>56</v>
      </c>
      <c r="B53" s="24">
        <v>85.997</v>
      </c>
      <c r="C53" s="24">
        <v>72.534000000000006</v>
      </c>
      <c r="D53" s="24">
        <v>80.313999999999993</v>
      </c>
      <c r="E53" s="24">
        <v>76.260000000000005</v>
      </c>
      <c r="F53" s="24">
        <v>61.732999999999997</v>
      </c>
      <c r="G53" s="24">
        <v>76.408000000000001</v>
      </c>
      <c r="H53" s="24">
        <v>87.012</v>
      </c>
      <c r="I53" s="24">
        <v>66.537999999999997</v>
      </c>
      <c r="J53" s="24">
        <v>89.682000000000002</v>
      </c>
      <c r="K53" s="24">
        <v>71.856999999999999</v>
      </c>
    </row>
    <row r="54" spans="1:11" ht="15" customHeight="1" x14ac:dyDescent="0.15">
      <c r="A54" s="2" t="s">
        <v>57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5" customHeight="1" outlineLevel="1" x14ac:dyDescent="0.15">
      <c r="A55" s="4" t="s">
        <v>57</v>
      </c>
      <c r="B55" s="5">
        <v>62.905999999999999</v>
      </c>
      <c r="C55" s="5">
        <v>77.119</v>
      </c>
      <c r="D55" s="5">
        <v>108.02500000000001</v>
      </c>
      <c r="E55" s="5">
        <v>130.41399999999999</v>
      </c>
      <c r="F55" s="5">
        <v>158.65799999999999</v>
      </c>
      <c r="G55" s="5">
        <v>242.02500000000001</v>
      </c>
      <c r="H55" s="5">
        <v>295.93900000000002</v>
      </c>
      <c r="I55" s="5">
        <v>224.685</v>
      </c>
      <c r="J55" s="5">
        <v>148.102</v>
      </c>
      <c r="K55" s="5">
        <v>157.48500000000001</v>
      </c>
    </row>
    <row r="56" spans="1:11" ht="15" customHeight="1" outlineLevel="2" x14ac:dyDescent="0.15">
      <c r="A56" s="7" t="s">
        <v>58</v>
      </c>
      <c r="B56" s="8">
        <v>54.152000000000001</v>
      </c>
      <c r="C56" s="8">
        <v>66.838999999999999</v>
      </c>
      <c r="D56" s="8">
        <v>93.816999999999993</v>
      </c>
      <c r="E56" s="8">
        <v>112.809</v>
      </c>
      <c r="F56" s="8">
        <v>124.73099999999999</v>
      </c>
      <c r="G56" s="8">
        <v>196.91399999999999</v>
      </c>
      <c r="H56" s="8">
        <v>246.697</v>
      </c>
      <c r="I56" s="8">
        <v>166.08199999999999</v>
      </c>
      <c r="J56" s="8">
        <v>64.194999999999993</v>
      </c>
      <c r="K56" s="8">
        <v>65.174999999999997</v>
      </c>
    </row>
    <row r="57" spans="1:11" ht="15" customHeight="1" outlineLevel="2" x14ac:dyDescent="0.15">
      <c r="A57" s="6" t="s">
        <v>17</v>
      </c>
      <c r="B57" s="12">
        <v>8.7539999999999996</v>
      </c>
      <c r="C57" s="12">
        <v>10.28</v>
      </c>
      <c r="D57" s="12">
        <v>14.208</v>
      </c>
      <c r="E57" s="12">
        <v>17.605</v>
      </c>
      <c r="F57" s="12">
        <v>33.927</v>
      </c>
      <c r="G57" s="12">
        <v>45.110999999999997</v>
      </c>
      <c r="H57" s="12">
        <v>49.241999999999997</v>
      </c>
      <c r="I57" s="12">
        <v>58.603000000000002</v>
      </c>
      <c r="J57" s="12">
        <v>83.906999999999996</v>
      </c>
      <c r="K57" s="12">
        <v>92.31</v>
      </c>
    </row>
    <row r="58" spans="1:11" ht="15" customHeight="1" x14ac:dyDescent="0.15">
      <c r="A58" s="26" t="s">
        <v>59</v>
      </c>
    </row>
  </sheetData>
  <sortState xmlns:xlrd2="http://schemas.microsoft.com/office/spreadsheetml/2017/richdata2" columnSort="1" ref="B1:K58">
    <sortCondition ref="B8:K8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88C1-270C-2D43-845C-175ECAC92695}">
  <dimension ref="A1:V23"/>
  <sheetViews>
    <sheetView zoomScale="75" workbookViewId="0">
      <selection activeCell="X20" sqref="X20"/>
    </sheetView>
  </sheetViews>
  <sheetFormatPr baseColWidth="10" defaultRowHeight="24" customHeight="1" x14ac:dyDescent="0.15"/>
  <cols>
    <col min="1" max="1" width="24.33203125" customWidth="1"/>
  </cols>
  <sheetData>
    <row r="1" spans="1:22" ht="24" customHeight="1" x14ac:dyDescent="0.2">
      <c r="A1" s="30" t="s">
        <v>160</v>
      </c>
    </row>
    <row r="2" spans="1:22" ht="24" customHeight="1" x14ac:dyDescent="0.15">
      <c r="B2" s="31"/>
    </row>
    <row r="5" spans="1:22" ht="24" customHeight="1" x14ac:dyDescent="0.15">
      <c r="A5" s="37"/>
      <c r="B5" s="37" t="s">
        <v>88</v>
      </c>
      <c r="C5" s="37" t="s">
        <v>80</v>
      </c>
      <c r="D5" s="37" t="s">
        <v>81</v>
      </c>
      <c r="E5" s="37" t="s">
        <v>82</v>
      </c>
      <c r="F5" s="37" t="s">
        <v>83</v>
      </c>
      <c r="G5" s="37" t="s">
        <v>84</v>
      </c>
      <c r="H5" s="37" t="s">
        <v>85</v>
      </c>
      <c r="I5" s="37" t="s">
        <v>86</v>
      </c>
      <c r="J5" s="37" t="s">
        <v>87</v>
      </c>
      <c r="K5" s="37" t="s">
        <v>79</v>
      </c>
      <c r="L5" s="37" t="s">
        <v>67</v>
      </c>
      <c r="M5" s="37" t="s">
        <v>68</v>
      </c>
      <c r="N5" s="37" t="s">
        <v>69</v>
      </c>
      <c r="O5" s="37" t="s">
        <v>70</v>
      </c>
      <c r="P5" s="37" t="s">
        <v>71</v>
      </c>
      <c r="Q5" s="37" t="s">
        <v>72</v>
      </c>
      <c r="R5" s="37" t="s">
        <v>73</v>
      </c>
      <c r="S5" s="37" t="s">
        <v>74</v>
      </c>
      <c r="T5" s="37" t="s">
        <v>75</v>
      </c>
      <c r="U5" s="37" t="s">
        <v>76</v>
      </c>
      <c r="V5" s="37" t="s">
        <v>77</v>
      </c>
    </row>
    <row r="6" spans="1:22" ht="24" customHeight="1" x14ac:dyDescent="0.15">
      <c r="A6" s="27" t="s">
        <v>62</v>
      </c>
      <c r="B6" s="32">
        <f>'Income Statement'!B10</f>
        <v>403.077</v>
      </c>
      <c r="C6" s="32">
        <f>'Income Statement'!C10</f>
        <v>475.63299999999998</v>
      </c>
      <c r="D6" s="32">
        <f>'Income Statement'!D10</f>
        <v>619.22500000000002</v>
      </c>
      <c r="E6" s="32">
        <f>'Income Statement'!E10</f>
        <v>751.02</v>
      </c>
      <c r="F6" s="32">
        <f>'Income Statement'!F10</f>
        <v>890.55399999999997</v>
      </c>
      <c r="G6" s="32">
        <f>'Income Statement'!G10</f>
        <v>1299.0640000000001</v>
      </c>
      <c r="H6" s="32">
        <f>'Income Statement'!H10</f>
        <v>1602.491</v>
      </c>
      <c r="I6" s="32">
        <f>'Income Statement'!I10</f>
        <v>1464.1780000000001</v>
      </c>
      <c r="J6" s="32">
        <f>'Income Statement'!J10</f>
        <v>1393.921</v>
      </c>
      <c r="K6" s="32">
        <f>'Income Statement'!K10</f>
        <v>1467.3209999999999</v>
      </c>
      <c r="L6" s="72">
        <f>K6*(1+L15)</f>
        <v>1548.0236549999997</v>
      </c>
      <c r="M6" s="72">
        <f t="shared" ref="M6:V6" si="0">L6*(1+M15)</f>
        <v>1640.9050742999998</v>
      </c>
      <c r="N6" s="72">
        <f t="shared" si="0"/>
        <v>1739.3593787579998</v>
      </c>
      <c r="O6" s="72">
        <f t="shared" si="0"/>
        <v>1835.0241445896897</v>
      </c>
      <c r="P6" s="72">
        <f t="shared" si="0"/>
        <v>1926.7753518191744</v>
      </c>
      <c r="Q6" s="72">
        <f t="shared" si="0"/>
        <v>2013.4802426510371</v>
      </c>
      <c r="R6" s="72">
        <f t="shared" si="0"/>
        <v>2094.0194523570785</v>
      </c>
      <c r="S6" s="72">
        <f t="shared" si="0"/>
        <v>2173.5921915466474</v>
      </c>
      <c r="T6" s="72">
        <f t="shared" si="0"/>
        <v>2249.6679182507801</v>
      </c>
      <c r="U6" s="72">
        <f t="shared" si="0"/>
        <v>2321.657291634805</v>
      </c>
      <c r="V6" s="72">
        <f t="shared" si="0"/>
        <v>2391.307010383849</v>
      </c>
    </row>
    <row r="7" spans="1:22" ht="24" customHeight="1" x14ac:dyDescent="0.15">
      <c r="A7" s="27" t="s">
        <v>63</v>
      </c>
      <c r="B7" s="32">
        <f>'Income Statement'!B12+'Income Statement'!B17</f>
        <v>335.33799999999997</v>
      </c>
      <c r="C7" s="32">
        <f>'Income Statement'!C12+'Income Statement'!C17</f>
        <v>392.61</v>
      </c>
      <c r="D7" s="32">
        <f>'Income Statement'!D12+'Income Statement'!D17</f>
        <v>506.57899999999995</v>
      </c>
      <c r="E7" s="32">
        <f>'Income Statement'!E12+'Income Statement'!E17</f>
        <v>616.54199999999992</v>
      </c>
      <c r="F7" s="32">
        <f>'Income Statement'!F12+'Income Statement'!F17</f>
        <v>725.00900000000001</v>
      </c>
      <c r="G7" s="32">
        <f>'Income Statement'!G12+'Income Statement'!G17</f>
        <v>1043.4359999999999</v>
      </c>
      <c r="H7" s="32">
        <f>'Income Statement'!H12+'Income Statement'!H17</f>
        <v>1295.165</v>
      </c>
      <c r="I7" s="32">
        <f>'Income Statement'!I12+'Income Statement'!I17</f>
        <v>1223.3789999999999</v>
      </c>
      <c r="J7" s="32">
        <f>'Income Statement'!J12+'Income Statement'!J17</f>
        <v>1227.5430000000001</v>
      </c>
      <c r="K7" s="32">
        <f>'Income Statement'!K12+'Income Statement'!K17</f>
        <v>1299.7650000000001</v>
      </c>
      <c r="L7" s="72">
        <f>L6*L16</f>
        <v>1354.5206981249999</v>
      </c>
      <c r="M7" s="72">
        <f t="shared" ref="M7:V7" si="1">M6*M16</f>
        <v>1419.3828892694999</v>
      </c>
      <c r="N7" s="72">
        <f t="shared" si="1"/>
        <v>1487.1522688380899</v>
      </c>
      <c r="O7" s="72">
        <f t="shared" si="1"/>
        <v>1550.5954021782877</v>
      </c>
      <c r="P7" s="72">
        <f t="shared" si="1"/>
        <v>1618.4912955281063</v>
      </c>
      <c r="Q7" s="72">
        <f t="shared" si="1"/>
        <v>1681.2560026136159</v>
      </c>
      <c r="R7" s="72">
        <f t="shared" si="1"/>
        <v>1742.2241843610893</v>
      </c>
      <c r="S7" s="72">
        <f t="shared" si="1"/>
        <v>1804.0815189837174</v>
      </c>
      <c r="T7" s="72">
        <f t="shared" si="1"/>
        <v>1862.7250363116459</v>
      </c>
      <c r="U7" s="72">
        <f t="shared" si="1"/>
        <v>1915.3672655987141</v>
      </c>
      <c r="V7" s="72">
        <f t="shared" si="1"/>
        <v>1972.8282835666753</v>
      </c>
    </row>
    <row r="8" spans="1:22" ht="24" customHeight="1" x14ac:dyDescent="0.15">
      <c r="A8" s="38" t="s">
        <v>18</v>
      </c>
      <c r="B8" s="33">
        <f>'Income Statement'!B14</f>
        <v>5.766</v>
      </c>
      <c r="C8" s="33">
        <f>'Income Statement'!C14</f>
        <v>7.2939999999999996</v>
      </c>
      <c r="D8" s="33">
        <f>'Income Statement'!D14</f>
        <v>8.1430000000000007</v>
      </c>
      <c r="E8" s="33">
        <f>'Income Statement'!E14</f>
        <v>11.260999999999999</v>
      </c>
      <c r="F8" s="33">
        <f>'Income Statement'!F14</f>
        <v>16.344000000000001</v>
      </c>
      <c r="G8" s="33">
        <f>'Income Statement'!G14</f>
        <v>24.425999999999998</v>
      </c>
      <c r="H8" s="33">
        <f>'Income Statement'!H14</f>
        <v>27.704999999999998</v>
      </c>
      <c r="I8" s="33">
        <f>'Income Statement'!I14</f>
        <v>32.094000000000001</v>
      </c>
      <c r="J8" s="33">
        <f>'Income Statement'!J14</f>
        <v>39.378999999999998</v>
      </c>
      <c r="K8" s="33">
        <f>'Income Statement'!K14</f>
        <v>50.28</v>
      </c>
      <c r="L8" s="73">
        <f>L6*L17</f>
        <v>52.632804269999994</v>
      </c>
      <c r="M8" s="73">
        <f t="shared" ref="M8:V8" si="2">M6*M17</f>
        <v>54.149867451899993</v>
      </c>
      <c r="N8" s="73">
        <f t="shared" si="2"/>
        <v>53.920140741497995</v>
      </c>
      <c r="O8" s="73">
        <f t="shared" si="2"/>
        <v>55.050724337690689</v>
      </c>
      <c r="P8" s="73">
        <f t="shared" si="2"/>
        <v>55.876485202756058</v>
      </c>
      <c r="Q8" s="73">
        <f t="shared" si="2"/>
        <v>56.377446794229037</v>
      </c>
      <c r="R8" s="73">
        <f t="shared" si="2"/>
        <v>56.538525213641122</v>
      </c>
      <c r="S8" s="73">
        <f t="shared" si="2"/>
        <v>56.513396980212832</v>
      </c>
      <c r="T8" s="73">
        <f t="shared" si="2"/>
        <v>56.241697956269505</v>
      </c>
      <c r="U8" s="73">
        <f t="shared" si="2"/>
        <v>58.041432290870127</v>
      </c>
      <c r="V8" s="73">
        <f t="shared" si="2"/>
        <v>59.782675259596232</v>
      </c>
    </row>
    <row r="9" spans="1:22" ht="24" customHeight="1" x14ac:dyDescent="0.15">
      <c r="A9" s="27" t="s">
        <v>64</v>
      </c>
      <c r="B9" s="32">
        <f>B6-B7-B8</f>
        <v>61.973000000000035</v>
      </c>
      <c r="C9" s="32">
        <f t="shared" ref="C9:K9" si="3">C6-C7-C8</f>
        <v>75.728999999999971</v>
      </c>
      <c r="D9" s="32">
        <f t="shared" si="3"/>
        <v>104.50300000000007</v>
      </c>
      <c r="E9" s="32">
        <f t="shared" si="3"/>
        <v>123.21700000000007</v>
      </c>
      <c r="F9" s="32">
        <f t="shared" si="3"/>
        <v>149.20099999999996</v>
      </c>
      <c r="G9" s="32">
        <f t="shared" si="3"/>
        <v>231.20200000000017</v>
      </c>
      <c r="H9" s="32">
        <f t="shared" si="3"/>
        <v>279.62100000000004</v>
      </c>
      <c r="I9" s="32">
        <f t="shared" si="3"/>
        <v>208.70500000000021</v>
      </c>
      <c r="J9" s="32">
        <f t="shared" si="3"/>
        <v>126.99899999999994</v>
      </c>
      <c r="K9" s="32">
        <f t="shared" si="3"/>
        <v>117.27599999999981</v>
      </c>
      <c r="L9" s="72">
        <f>L6-L7-L8</f>
        <v>140.87015260499987</v>
      </c>
      <c r="M9" s="72">
        <f t="shared" ref="M9:V9" si="4">M6-M7-M8</f>
        <v>167.37231757859996</v>
      </c>
      <c r="N9" s="72">
        <f t="shared" si="4"/>
        <v>198.28696917841197</v>
      </c>
      <c r="O9" s="72">
        <f t="shared" si="4"/>
        <v>229.37801807371133</v>
      </c>
      <c r="P9" s="72">
        <f t="shared" si="4"/>
        <v>252.40757108831201</v>
      </c>
      <c r="Q9" s="72">
        <f t="shared" si="4"/>
        <v>275.84679324319211</v>
      </c>
      <c r="R9" s="72">
        <f t="shared" si="4"/>
        <v>295.25674278234806</v>
      </c>
      <c r="S9" s="72">
        <f t="shared" si="4"/>
        <v>312.99727558271718</v>
      </c>
      <c r="T9" s="72">
        <f t="shared" si="4"/>
        <v>330.70118398286468</v>
      </c>
      <c r="U9" s="72">
        <f t="shared" si="4"/>
        <v>348.24859374522077</v>
      </c>
      <c r="V9" s="72">
        <f t="shared" si="4"/>
        <v>358.69605155757756</v>
      </c>
    </row>
    <row r="10" spans="1:22" ht="24" customHeight="1" x14ac:dyDescent="0.15">
      <c r="A10" s="27" t="s">
        <v>78</v>
      </c>
      <c r="B10" s="67">
        <f>IF(AND('Income Statement'!B34&gt;=0,'Income Statement'!B35&gt;=0),'Income Statement'!B35/'Income Statement'!B34,0)</f>
        <v>0.17208168948711997</v>
      </c>
      <c r="C10" s="67">
        <f>IF(AND('Income Statement'!C34&gt;=0,'Income Statement'!C35&gt;=0),'Income Statement'!C35/'Income Statement'!C34,0)</f>
        <v>0.3105721949038891</v>
      </c>
      <c r="D10" s="67">
        <f>IF(AND('Income Statement'!D34&gt;=0,'Income Statement'!D35&gt;=0),'Income Statement'!D35/'Income Statement'!D34,0)</f>
        <v>3.0746522849843885E-2</v>
      </c>
      <c r="E10" s="67">
        <f>IF(AND('Income Statement'!E34&gt;=0,'Income Statement'!E35&gt;=0),'Income Statement'!E35/'Income Statement'!E34,0)</f>
        <v>0.12986211533679043</v>
      </c>
      <c r="F10" s="67">
        <f>IF(AND('Income Statement'!F34&gt;=0,'Income Statement'!F35&gt;=0),'Income Statement'!F35/'Income Statement'!F34,0)</f>
        <v>0.12229981823399981</v>
      </c>
      <c r="G10" s="67">
        <f>IF(AND('Income Statement'!G34&gt;=0,'Income Statement'!G35&gt;=0),'Income Statement'!G35/'Income Statement'!G34,0)</f>
        <v>0.13039000748483126</v>
      </c>
      <c r="H10" s="67">
        <f>IF(AND('Income Statement'!H34&gt;=0,'Income Statement'!H35&gt;=0),'Income Statement'!H35/'Income Statement'!H34,0)</f>
        <v>0.12185794219811434</v>
      </c>
      <c r="I10" s="67">
        <f>IF(AND('Income Statement'!I34&gt;=0,'Income Statement'!I35&gt;=0),'Income Statement'!I35/'Income Statement'!I34,0)</f>
        <v>0.12849137837779365</v>
      </c>
      <c r="J10" s="67">
        <f>IF(AND('Income Statement'!J34&gt;=0,'Income Statement'!J35&gt;=0),'Income Statement'!J35/'Income Statement'!J34,0)</f>
        <v>0</v>
      </c>
      <c r="K10" s="67">
        <f>IF(AND('Income Statement'!K34&gt;=0,'Income Statement'!K35&gt;=0),'Income Statement'!K35/'Income Statement'!K34,0)</f>
        <v>0</v>
      </c>
      <c r="L10" s="68">
        <f>L18</f>
        <v>0.126</v>
      </c>
      <c r="M10" s="68">
        <f t="shared" ref="M10:V10" si="5">M18</f>
        <v>0.126</v>
      </c>
      <c r="N10" s="68">
        <f t="shared" si="5"/>
        <v>0.126</v>
      </c>
      <c r="O10" s="68">
        <f t="shared" si="5"/>
        <v>0.126</v>
      </c>
      <c r="P10" s="68">
        <f t="shared" si="5"/>
        <v>0.126</v>
      </c>
      <c r="Q10" s="68">
        <f t="shared" si="5"/>
        <v>0.126</v>
      </c>
      <c r="R10" s="68">
        <f t="shared" si="5"/>
        <v>0.126</v>
      </c>
      <c r="S10" s="68">
        <f t="shared" si="5"/>
        <v>0.126</v>
      </c>
      <c r="T10" s="68">
        <f t="shared" si="5"/>
        <v>0.126</v>
      </c>
      <c r="U10" s="68">
        <f t="shared" si="5"/>
        <v>0.126</v>
      </c>
      <c r="V10" s="68">
        <f t="shared" si="5"/>
        <v>0.126</v>
      </c>
    </row>
    <row r="11" spans="1:22" ht="24" customHeight="1" x14ac:dyDescent="0.15">
      <c r="A11" s="38" t="s">
        <v>65</v>
      </c>
      <c r="B11" s="33">
        <f>B9*B10</f>
        <v>10.664418542585292</v>
      </c>
      <c r="C11" s="33">
        <f t="shared" ref="C11:I11" si="6">C9*C10</f>
        <v>23.51932174787661</v>
      </c>
      <c r="D11" s="33">
        <f t="shared" si="6"/>
        <v>3.2131038773772378</v>
      </c>
      <c r="E11" s="33">
        <f t="shared" si="6"/>
        <v>16.001220265453316</v>
      </c>
      <c r="F11" s="33">
        <f t="shared" si="6"/>
        <v>18.247255180331003</v>
      </c>
      <c r="G11" s="33">
        <f t="shared" si="6"/>
        <v>30.14643051050798</v>
      </c>
      <c r="H11" s="33">
        <f t="shared" si="6"/>
        <v>34.074039655378932</v>
      </c>
      <c r="I11" s="33">
        <f t="shared" si="6"/>
        <v>26.816793124337451</v>
      </c>
      <c r="J11" s="33">
        <f t="shared" ref="J11" si="7">J9*J10</f>
        <v>0</v>
      </c>
      <c r="K11" s="33">
        <f t="shared" ref="K11" si="8">K9*K10</f>
        <v>0</v>
      </c>
      <c r="L11" s="73">
        <f>L9*L10</f>
        <v>17.749639228229984</v>
      </c>
      <c r="M11" s="73">
        <f t="shared" ref="M11:V11" si="9">M9*M10</f>
        <v>21.088912014903595</v>
      </c>
      <c r="N11" s="73">
        <f t="shared" si="9"/>
        <v>24.984158116479907</v>
      </c>
      <c r="O11" s="73">
        <f t="shared" si="9"/>
        <v>28.901630277287627</v>
      </c>
      <c r="P11" s="73">
        <f t="shared" si="9"/>
        <v>31.803353957127314</v>
      </c>
      <c r="Q11" s="73">
        <f t="shared" si="9"/>
        <v>34.756695948642204</v>
      </c>
      <c r="R11" s="73">
        <f t="shared" si="9"/>
        <v>37.202349590575857</v>
      </c>
      <c r="S11" s="73">
        <f t="shared" si="9"/>
        <v>39.437656723422364</v>
      </c>
      <c r="T11" s="73">
        <f t="shared" si="9"/>
        <v>41.668349181840952</v>
      </c>
      <c r="U11" s="73">
        <f t="shared" si="9"/>
        <v>43.879322811897815</v>
      </c>
      <c r="V11" s="73">
        <f t="shared" si="9"/>
        <v>45.195702496254775</v>
      </c>
    </row>
    <row r="12" spans="1:22" ht="24" customHeight="1" thickBot="1" x14ac:dyDescent="0.2">
      <c r="A12" s="39" t="s">
        <v>66</v>
      </c>
      <c r="B12" s="36">
        <f>B9-B11</f>
        <v>51.308581457414746</v>
      </c>
      <c r="C12" s="36">
        <f t="shared" ref="C12:I12" si="10">C9-C11</f>
        <v>52.209678252123361</v>
      </c>
      <c r="D12" s="36">
        <f t="shared" si="10"/>
        <v>101.28989612262284</v>
      </c>
      <c r="E12" s="36">
        <f t="shared" si="10"/>
        <v>107.21577973454676</v>
      </c>
      <c r="F12" s="36">
        <f t="shared" si="10"/>
        <v>130.95374481966897</v>
      </c>
      <c r="G12" s="36">
        <f t="shared" si="10"/>
        <v>201.0555694894922</v>
      </c>
      <c r="H12" s="36">
        <f t="shared" si="10"/>
        <v>245.54696034462111</v>
      </c>
      <c r="I12" s="36">
        <f t="shared" si="10"/>
        <v>181.88820687566277</v>
      </c>
      <c r="J12" s="36">
        <f t="shared" ref="J12" si="11">J9-J11</f>
        <v>126.99899999999994</v>
      </c>
      <c r="K12" s="36">
        <f t="shared" ref="K12" si="12">K9-K11</f>
        <v>117.27599999999981</v>
      </c>
      <c r="L12" s="74">
        <f>L9-L11</f>
        <v>123.12051337676989</v>
      </c>
      <c r="M12" s="74">
        <f t="shared" ref="M12:V12" si="13">M9-M11</f>
        <v>146.28340556369636</v>
      </c>
      <c r="N12" s="74">
        <f t="shared" si="13"/>
        <v>173.30281106193206</v>
      </c>
      <c r="O12" s="74">
        <f t="shared" si="13"/>
        <v>200.47638779642369</v>
      </c>
      <c r="P12" s="74">
        <f t="shared" si="13"/>
        <v>220.6042171311847</v>
      </c>
      <c r="Q12" s="74">
        <f t="shared" si="13"/>
        <v>241.09009729454991</v>
      </c>
      <c r="R12" s="74">
        <f t="shared" si="13"/>
        <v>258.05439319177219</v>
      </c>
      <c r="S12" s="74">
        <f t="shared" si="13"/>
        <v>273.5596188592948</v>
      </c>
      <c r="T12" s="74">
        <f t="shared" si="13"/>
        <v>289.03283480102374</v>
      </c>
      <c r="U12" s="74">
        <f t="shared" si="13"/>
        <v>304.36927093332298</v>
      </c>
      <c r="V12" s="74">
        <f t="shared" si="13"/>
        <v>313.50034906132277</v>
      </c>
    </row>
    <row r="13" spans="1:22" ht="24" customHeight="1" thickTop="1" x14ac:dyDescent="0.15"/>
    <row r="14" spans="1:22" ht="24" customHeight="1" x14ac:dyDescent="0.15">
      <c r="A14" s="75" t="s">
        <v>173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</row>
    <row r="15" spans="1:22" ht="24" customHeight="1" x14ac:dyDescent="0.15">
      <c r="A15" s="27" t="s">
        <v>174</v>
      </c>
      <c r="B15" s="68"/>
      <c r="C15" s="68">
        <f>C6/B6-1</f>
        <v>0.18000530915929214</v>
      </c>
      <c r="D15" s="68">
        <f t="shared" ref="D15:K15" si="14">D6/C6-1</f>
        <v>0.30189663038519199</v>
      </c>
      <c r="E15" s="68">
        <f t="shared" si="14"/>
        <v>0.21283862893132532</v>
      </c>
      <c r="F15" s="68">
        <f t="shared" si="14"/>
        <v>0.18579265532209521</v>
      </c>
      <c r="G15" s="68">
        <f t="shared" si="14"/>
        <v>0.4587144631319382</v>
      </c>
      <c r="H15" s="68">
        <f t="shared" si="14"/>
        <v>0.23357355757683984</v>
      </c>
      <c r="I15" s="68">
        <f t="shared" si="14"/>
        <v>-8.6311249173942284E-2</v>
      </c>
      <c r="J15" s="68">
        <f t="shared" si="14"/>
        <v>-4.7983919987870327E-2</v>
      </c>
      <c r="K15" s="68">
        <f t="shared" si="14"/>
        <v>5.2657216585444866E-2</v>
      </c>
      <c r="L15" s="70">
        <v>5.5E-2</v>
      </c>
      <c r="M15" s="70">
        <v>0.06</v>
      </c>
      <c r="N15" s="70">
        <v>0.06</v>
      </c>
      <c r="O15" s="70">
        <v>5.5E-2</v>
      </c>
      <c r="P15" s="70">
        <v>0.05</v>
      </c>
      <c r="Q15" s="70">
        <v>4.4999999999999998E-2</v>
      </c>
      <c r="R15" s="70">
        <v>0.04</v>
      </c>
      <c r="S15" s="70">
        <v>3.7999999999999999E-2</v>
      </c>
      <c r="T15" s="70">
        <v>3.5000000000000003E-2</v>
      </c>
      <c r="U15" s="70">
        <v>3.2000000000000001E-2</v>
      </c>
      <c r="V15" s="70">
        <v>0.03</v>
      </c>
    </row>
    <row r="16" spans="1:22" ht="24" customHeight="1" x14ac:dyDescent="0.15">
      <c r="A16" s="27" t="s">
        <v>175</v>
      </c>
      <c r="B16" s="69">
        <f>B7/B6</f>
        <v>0.83194526107914857</v>
      </c>
      <c r="C16" s="69">
        <f t="shared" ref="C16:K16" si="15">C7/C6</f>
        <v>0.82544735121406632</v>
      </c>
      <c r="D16" s="69">
        <f t="shared" si="15"/>
        <v>0.8180855101134481</v>
      </c>
      <c r="E16" s="69">
        <f t="shared" si="15"/>
        <v>0.82093952224974032</v>
      </c>
      <c r="F16" s="69">
        <f t="shared" si="15"/>
        <v>0.81411009326778616</v>
      </c>
      <c r="G16" s="69">
        <f t="shared" si="15"/>
        <v>0.80322139632843326</v>
      </c>
      <c r="H16" s="69">
        <f t="shared" si="15"/>
        <v>0.80821982775566292</v>
      </c>
      <c r="I16" s="69">
        <f t="shared" si="15"/>
        <v>0.83553980458660071</v>
      </c>
      <c r="J16" s="69">
        <f t="shared" si="15"/>
        <v>0.88064029453606052</v>
      </c>
      <c r="K16" s="69">
        <f t="shared" si="15"/>
        <v>0.88580821783372565</v>
      </c>
      <c r="L16" s="71">
        <v>0.875</v>
      </c>
      <c r="M16" s="71">
        <v>0.86499999999999999</v>
      </c>
      <c r="N16" s="71">
        <v>0.85499999999999998</v>
      </c>
      <c r="O16" s="71">
        <v>0.84499999999999997</v>
      </c>
      <c r="P16" s="71">
        <v>0.84</v>
      </c>
      <c r="Q16" s="71">
        <v>0.83499999999999996</v>
      </c>
      <c r="R16" s="71">
        <v>0.83199999999999996</v>
      </c>
      <c r="S16" s="71">
        <v>0.83</v>
      </c>
      <c r="T16" s="71">
        <v>0.82799999999999996</v>
      </c>
      <c r="U16" s="71">
        <v>0.82499999999999996</v>
      </c>
      <c r="V16" s="71">
        <v>0.82499999999999996</v>
      </c>
    </row>
    <row r="17" spans="1:22" ht="24" customHeight="1" x14ac:dyDescent="0.15">
      <c r="A17" s="27" t="s">
        <v>176</v>
      </c>
      <c r="B17" s="69">
        <f>B8/B6</f>
        <v>1.4304959102107042E-2</v>
      </c>
      <c r="C17" s="69">
        <f t="shared" ref="C17:K17" si="16">C8/C6</f>
        <v>1.5335353097871677E-2</v>
      </c>
      <c r="D17" s="69">
        <f t="shared" si="16"/>
        <v>1.3150308853809198E-2</v>
      </c>
      <c r="E17" s="69">
        <f t="shared" si="16"/>
        <v>1.4994274453410028E-2</v>
      </c>
      <c r="F17" s="69">
        <f t="shared" si="16"/>
        <v>1.8352620952800169E-2</v>
      </c>
      <c r="G17" s="69">
        <f t="shared" si="16"/>
        <v>1.8802768762739938E-2</v>
      </c>
      <c r="H17" s="69">
        <f t="shared" si="16"/>
        <v>1.7288708641733399E-2</v>
      </c>
      <c r="I17" s="69">
        <f t="shared" si="16"/>
        <v>2.191946607584597E-2</v>
      </c>
      <c r="J17" s="69">
        <f t="shared" si="16"/>
        <v>2.8250524958014119E-2</v>
      </c>
      <c r="K17" s="69">
        <f t="shared" si="16"/>
        <v>3.4266530636445608E-2</v>
      </c>
      <c r="L17" s="71">
        <v>3.4000000000000002E-2</v>
      </c>
      <c r="M17" s="71">
        <v>3.3000000000000002E-2</v>
      </c>
      <c r="N17" s="71">
        <v>3.1E-2</v>
      </c>
      <c r="O17" s="71">
        <v>0.03</v>
      </c>
      <c r="P17" s="71">
        <v>2.9000000000000001E-2</v>
      </c>
      <c r="Q17" s="71">
        <v>2.8000000000000001E-2</v>
      </c>
      <c r="R17" s="71">
        <v>2.7E-2</v>
      </c>
      <c r="S17" s="71">
        <v>2.5999999999999999E-2</v>
      </c>
      <c r="T17" s="71">
        <v>2.5000000000000001E-2</v>
      </c>
      <c r="U17" s="71">
        <v>2.5000000000000001E-2</v>
      </c>
      <c r="V17" s="71">
        <v>2.5000000000000001E-2</v>
      </c>
    </row>
    <row r="18" spans="1:22" ht="24" customHeight="1" thickBot="1" x14ac:dyDescent="0.2">
      <c r="A18" s="39" t="s">
        <v>177</v>
      </c>
      <c r="B18" s="76">
        <f>B10</f>
        <v>0.17208168948711997</v>
      </c>
      <c r="C18" s="76">
        <f t="shared" ref="C18:K18" si="17">C10</f>
        <v>0.3105721949038891</v>
      </c>
      <c r="D18" s="76">
        <f t="shared" si="17"/>
        <v>3.0746522849843885E-2</v>
      </c>
      <c r="E18" s="76">
        <f t="shared" si="17"/>
        <v>0.12986211533679043</v>
      </c>
      <c r="F18" s="76">
        <f t="shared" si="17"/>
        <v>0.12229981823399981</v>
      </c>
      <c r="G18" s="76">
        <f t="shared" si="17"/>
        <v>0.13039000748483126</v>
      </c>
      <c r="H18" s="76">
        <f t="shared" si="17"/>
        <v>0.12185794219811434</v>
      </c>
      <c r="I18" s="76">
        <f t="shared" si="17"/>
        <v>0.12849137837779365</v>
      </c>
      <c r="J18" s="76">
        <f t="shared" si="17"/>
        <v>0</v>
      </c>
      <c r="K18" s="76">
        <f t="shared" si="17"/>
        <v>0</v>
      </c>
      <c r="L18" s="77">
        <v>0.126</v>
      </c>
      <c r="M18" s="77">
        <v>0.126</v>
      </c>
      <c r="N18" s="77">
        <v>0.126</v>
      </c>
      <c r="O18" s="77">
        <v>0.126</v>
      </c>
      <c r="P18" s="77">
        <v>0.126</v>
      </c>
      <c r="Q18" s="77">
        <v>0.126</v>
      </c>
      <c r="R18" s="77">
        <v>0.126</v>
      </c>
      <c r="S18" s="77">
        <v>0.126</v>
      </c>
      <c r="T18" s="77">
        <v>0.126</v>
      </c>
      <c r="U18" s="77">
        <v>0.126</v>
      </c>
      <c r="V18" s="77">
        <v>0.126</v>
      </c>
    </row>
    <row r="19" spans="1:22" ht="24" customHeight="1" thickTop="1" x14ac:dyDescent="0.15"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</row>
    <row r="20" spans="1:22" ht="24" customHeight="1" x14ac:dyDescent="0.15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</row>
    <row r="21" spans="1:22" ht="24" customHeight="1" x14ac:dyDescent="0.15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</row>
    <row r="22" spans="1:22" ht="24" customHeight="1" x14ac:dyDescent="0.15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 spans="1:22" ht="24" customHeight="1" x14ac:dyDescent="0.15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DF2B-AC3F-9749-81F7-9465F897C465}">
  <dimension ref="A1:K76"/>
  <sheetViews>
    <sheetView zoomScale="86" workbookViewId="0">
      <selection activeCell="K46" sqref="K46"/>
    </sheetView>
  </sheetViews>
  <sheetFormatPr baseColWidth="10" defaultRowHeight="13" x14ac:dyDescent="0.15"/>
  <cols>
    <col min="1" max="1" width="61" bestFit="1" customWidth="1"/>
  </cols>
  <sheetData>
    <row r="1" spans="1:11" x14ac:dyDescent="0.15">
      <c r="A1" s="40" t="s">
        <v>60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15">
      <c r="A2" s="42">
        <v>16.37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x14ac:dyDescent="0.15">
      <c r="A3" s="41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x14ac:dyDescent="0.1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x14ac:dyDescent="0.15">
      <c r="A5" s="44" t="s">
        <v>0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x14ac:dyDescent="0.15">
      <c r="A6" s="44" t="s">
        <v>1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x14ac:dyDescent="0.15">
      <c r="A7" s="44" t="s">
        <v>2</v>
      </c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x14ac:dyDescent="0.15">
      <c r="A8" s="44"/>
      <c r="B8" s="44" t="s">
        <v>12</v>
      </c>
      <c r="C8" s="44" t="s">
        <v>11</v>
      </c>
      <c r="D8" s="44" t="s">
        <v>10</v>
      </c>
      <c r="E8" s="44" t="s">
        <v>9</v>
      </c>
      <c r="F8" s="44" t="s">
        <v>8</v>
      </c>
      <c r="G8" s="44" t="s">
        <v>7</v>
      </c>
      <c r="H8" s="44" t="s">
        <v>6</v>
      </c>
      <c r="I8" s="44" t="s">
        <v>5</v>
      </c>
      <c r="J8" s="44" t="s">
        <v>4</v>
      </c>
      <c r="K8" s="44" t="s">
        <v>3</v>
      </c>
    </row>
    <row r="9" spans="1:11" x14ac:dyDescent="0.15">
      <c r="A9" s="44"/>
      <c r="B9" s="44"/>
      <c r="C9" s="44" t="s">
        <v>13</v>
      </c>
      <c r="D9" s="44"/>
      <c r="E9" s="44"/>
      <c r="F9" s="44"/>
      <c r="G9" s="44"/>
      <c r="H9" s="44"/>
      <c r="I9" s="44"/>
      <c r="J9" s="44" t="s">
        <v>13</v>
      </c>
      <c r="K9" s="44"/>
    </row>
    <row r="10" spans="1:11" x14ac:dyDescent="0.15">
      <c r="A10" s="45" t="s">
        <v>89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x14ac:dyDescent="0.15">
      <c r="A11" s="4" t="s">
        <v>90</v>
      </c>
      <c r="B11" s="5">
        <v>35.299999999999997</v>
      </c>
      <c r="C11" s="5">
        <v>35.9</v>
      </c>
      <c r="D11" s="5">
        <v>28</v>
      </c>
      <c r="E11" s="5">
        <v>43.7</v>
      </c>
      <c r="F11" s="5">
        <v>245.8</v>
      </c>
      <c r="G11" s="5">
        <v>180.5</v>
      </c>
      <c r="H11" s="5">
        <v>145.30000000000001</v>
      </c>
      <c r="I11" s="5">
        <v>83.6</v>
      </c>
      <c r="J11" s="5">
        <v>71.7</v>
      </c>
      <c r="K11" s="5">
        <v>58</v>
      </c>
    </row>
    <row r="12" spans="1:11" x14ac:dyDescent="0.15">
      <c r="A12" s="46" t="s">
        <v>91</v>
      </c>
      <c r="B12" s="47">
        <v>35.299999999999997</v>
      </c>
      <c r="C12" s="47">
        <v>35.9</v>
      </c>
      <c r="D12" s="47">
        <v>28</v>
      </c>
      <c r="E12" s="47">
        <v>43.7</v>
      </c>
      <c r="F12" s="47">
        <v>245.8</v>
      </c>
      <c r="G12" s="47">
        <v>180.5</v>
      </c>
      <c r="H12" s="47">
        <v>145.30000000000001</v>
      </c>
      <c r="I12" s="47">
        <v>83.6</v>
      </c>
      <c r="J12" s="47">
        <v>71.7</v>
      </c>
      <c r="K12" s="47">
        <v>58</v>
      </c>
    </row>
    <row r="13" spans="1:11" x14ac:dyDescent="0.15">
      <c r="A13" s="4" t="s">
        <v>92</v>
      </c>
      <c r="B13" s="5">
        <v>61.6</v>
      </c>
      <c r="C13" s="5">
        <v>61.1</v>
      </c>
      <c r="D13" s="5">
        <v>78.900000000000006</v>
      </c>
      <c r="E13" s="5">
        <v>91.6</v>
      </c>
      <c r="F13" s="5">
        <v>121.2</v>
      </c>
      <c r="G13" s="5">
        <v>142</v>
      </c>
      <c r="H13" s="5">
        <v>200.4</v>
      </c>
      <c r="I13" s="5">
        <v>171.1</v>
      </c>
      <c r="J13" s="5">
        <v>165.8</v>
      </c>
      <c r="K13" s="5">
        <v>190.7</v>
      </c>
    </row>
    <row r="14" spans="1:11" x14ac:dyDescent="0.15">
      <c r="A14" s="48" t="s">
        <v>93</v>
      </c>
      <c r="B14" s="49">
        <v>61.6</v>
      </c>
      <c r="C14" s="49">
        <v>61.1</v>
      </c>
      <c r="D14" s="49">
        <v>78.900000000000006</v>
      </c>
      <c r="E14" s="49">
        <v>91.6</v>
      </c>
      <c r="F14" s="49">
        <v>121.2</v>
      </c>
      <c r="G14" s="49">
        <v>142</v>
      </c>
      <c r="H14" s="49">
        <v>200.4</v>
      </c>
      <c r="I14" s="49">
        <v>171.1</v>
      </c>
      <c r="J14" s="49">
        <v>165.8</v>
      </c>
      <c r="K14" s="49">
        <v>190.7</v>
      </c>
    </row>
    <row r="15" spans="1:11" x14ac:dyDescent="0.15">
      <c r="A15" s="50" t="s">
        <v>94</v>
      </c>
      <c r="B15" s="51">
        <v>62</v>
      </c>
      <c r="C15" s="51">
        <v>61.7</v>
      </c>
      <c r="D15" s="51">
        <v>79.5</v>
      </c>
      <c r="E15" s="51">
        <v>92.4</v>
      </c>
      <c r="F15" s="51">
        <v>121.9</v>
      </c>
      <c r="G15" s="51">
        <v>142.5</v>
      </c>
      <c r="H15" s="51">
        <v>200.9</v>
      </c>
      <c r="I15" s="51">
        <v>172.2</v>
      </c>
      <c r="J15" s="51">
        <v>167.7</v>
      </c>
      <c r="K15" s="51">
        <v>193.6</v>
      </c>
    </row>
    <row r="16" spans="1:11" x14ac:dyDescent="0.15">
      <c r="A16" s="52" t="s">
        <v>95</v>
      </c>
      <c r="B16" s="53">
        <v>-0.4</v>
      </c>
      <c r="C16" s="53">
        <v>-0.7</v>
      </c>
      <c r="D16" s="53">
        <v>-0.6</v>
      </c>
      <c r="E16" s="53">
        <v>-0.8</v>
      </c>
      <c r="F16" s="53">
        <v>-0.7</v>
      </c>
      <c r="G16" s="53">
        <v>-0.4</v>
      </c>
      <c r="H16" s="53">
        <v>-0.4</v>
      </c>
      <c r="I16" s="53">
        <v>-1.2</v>
      </c>
      <c r="J16" s="53">
        <v>-1.8</v>
      </c>
      <c r="K16" s="53">
        <v>-2.9</v>
      </c>
    </row>
    <row r="17" spans="1:11" x14ac:dyDescent="0.15">
      <c r="A17" s="4" t="s">
        <v>96</v>
      </c>
      <c r="B17" s="5">
        <v>71.2</v>
      </c>
      <c r="C17" s="5">
        <v>84.8</v>
      </c>
      <c r="D17" s="5">
        <v>107.1</v>
      </c>
      <c r="E17" s="5">
        <v>128.5</v>
      </c>
      <c r="F17" s="5">
        <v>127.1</v>
      </c>
      <c r="G17" s="5">
        <v>279.8</v>
      </c>
      <c r="H17" s="5">
        <v>350.6</v>
      </c>
      <c r="I17" s="5">
        <v>371.8</v>
      </c>
      <c r="J17" s="5">
        <v>404.7</v>
      </c>
      <c r="K17" s="5">
        <v>388.6</v>
      </c>
    </row>
    <row r="18" spans="1:11" x14ac:dyDescent="0.15">
      <c r="A18" s="46" t="s">
        <v>97</v>
      </c>
      <c r="B18" s="47">
        <v>22.6</v>
      </c>
      <c r="C18" s="47">
        <v>32.200000000000003</v>
      </c>
      <c r="D18" s="47">
        <v>25.6</v>
      </c>
      <c r="E18" s="47">
        <v>33.700000000000003</v>
      </c>
      <c r="F18" s="47">
        <v>34.299999999999997</v>
      </c>
      <c r="G18" s="47">
        <v>71.8</v>
      </c>
      <c r="H18" s="47">
        <v>93.2</v>
      </c>
      <c r="I18" s="47">
        <v>145.1</v>
      </c>
      <c r="J18" s="47">
        <v>142.80000000000001</v>
      </c>
      <c r="K18" s="47">
        <v>139.9</v>
      </c>
    </row>
    <row r="19" spans="1:11" x14ac:dyDescent="0.15">
      <c r="A19" s="54" t="s">
        <v>98</v>
      </c>
      <c r="B19" s="51">
        <v>1.9</v>
      </c>
      <c r="C19" s="51">
        <v>1.2</v>
      </c>
      <c r="D19" s="51">
        <v>5.9</v>
      </c>
      <c r="E19" s="51">
        <v>7.1</v>
      </c>
      <c r="F19" s="51">
        <v>5.3</v>
      </c>
      <c r="G19" s="51">
        <v>7.5</v>
      </c>
      <c r="H19" s="51">
        <v>10</v>
      </c>
      <c r="I19" s="51">
        <v>8.8000000000000007</v>
      </c>
      <c r="J19" s="51">
        <v>16.5</v>
      </c>
      <c r="K19" s="51">
        <v>22.4</v>
      </c>
    </row>
    <row r="20" spans="1:11" x14ac:dyDescent="0.15">
      <c r="A20" s="46" t="s">
        <v>99</v>
      </c>
      <c r="B20" s="47">
        <v>46.7</v>
      </c>
      <c r="C20" s="47">
        <v>51.4</v>
      </c>
      <c r="D20" s="47">
        <v>75.7</v>
      </c>
      <c r="E20" s="47">
        <v>87.8</v>
      </c>
      <c r="F20" s="47">
        <v>87.5</v>
      </c>
      <c r="G20" s="47">
        <v>200.5</v>
      </c>
      <c r="H20" s="47">
        <v>247.4</v>
      </c>
      <c r="I20" s="47">
        <v>217.9</v>
      </c>
      <c r="J20" s="47">
        <v>245.4</v>
      </c>
      <c r="K20" s="47">
        <v>226.3</v>
      </c>
    </row>
    <row r="21" spans="1:11" x14ac:dyDescent="0.15">
      <c r="A21" s="4" t="s">
        <v>100</v>
      </c>
      <c r="B21" s="5">
        <v>14.8</v>
      </c>
      <c r="C21" s="5">
        <v>18.100000000000001</v>
      </c>
      <c r="D21" s="5">
        <v>18</v>
      </c>
      <c r="E21" s="5">
        <v>17.899999999999999</v>
      </c>
      <c r="F21" s="5">
        <v>87.9</v>
      </c>
      <c r="G21" s="5">
        <v>122.3</v>
      </c>
      <c r="H21" s="5">
        <v>101.4</v>
      </c>
      <c r="I21" s="5">
        <v>141.5</v>
      </c>
      <c r="J21" s="5">
        <v>85.4</v>
      </c>
      <c r="K21" s="5">
        <v>108.4</v>
      </c>
    </row>
    <row r="22" spans="1:11" x14ac:dyDescent="0.15">
      <c r="A22" s="46" t="s">
        <v>101</v>
      </c>
      <c r="B22" s="55"/>
      <c r="C22" s="55"/>
      <c r="D22" s="55"/>
      <c r="E22" s="55"/>
      <c r="F22" s="55"/>
      <c r="G22" s="47">
        <v>112.6</v>
      </c>
      <c r="H22" s="47">
        <v>87.6</v>
      </c>
      <c r="I22" s="47">
        <v>122.9</v>
      </c>
      <c r="J22" s="47">
        <v>73.599999999999994</v>
      </c>
      <c r="K22" s="47">
        <v>93.3</v>
      </c>
    </row>
    <row r="23" spans="1:11" x14ac:dyDescent="0.15">
      <c r="A23" s="54" t="s">
        <v>102</v>
      </c>
      <c r="B23" s="51">
        <v>14.8</v>
      </c>
      <c r="C23" s="51">
        <v>18.100000000000001</v>
      </c>
      <c r="D23" s="51">
        <v>18</v>
      </c>
      <c r="E23" s="51">
        <v>17.899999999999999</v>
      </c>
      <c r="F23" s="51">
        <v>87.9</v>
      </c>
      <c r="G23" s="51">
        <v>9.6</v>
      </c>
      <c r="H23" s="51">
        <v>13.8</v>
      </c>
      <c r="I23" s="51">
        <v>18.600000000000001</v>
      </c>
      <c r="J23" s="51">
        <v>11.9</v>
      </c>
      <c r="K23" s="51">
        <v>15.1</v>
      </c>
    </row>
    <row r="24" spans="1:11" x14ac:dyDescent="0.15">
      <c r="A24" s="56" t="s">
        <v>103</v>
      </c>
      <c r="B24" s="47">
        <v>182.9</v>
      </c>
      <c r="C24" s="47">
        <v>199.9</v>
      </c>
      <c r="D24" s="47">
        <v>231.9</v>
      </c>
      <c r="E24" s="47">
        <v>281.8</v>
      </c>
      <c r="F24" s="47">
        <v>582</v>
      </c>
      <c r="G24" s="47">
        <v>724.7</v>
      </c>
      <c r="H24" s="47">
        <v>797.7</v>
      </c>
      <c r="I24" s="47">
        <v>768.1</v>
      </c>
      <c r="J24" s="47">
        <v>727.7</v>
      </c>
      <c r="K24" s="47">
        <v>745.7</v>
      </c>
    </row>
    <row r="25" spans="1:11" x14ac:dyDescent="0.15">
      <c r="A25" s="4" t="s">
        <v>104</v>
      </c>
      <c r="B25" s="5">
        <v>32.299999999999997</v>
      </c>
      <c r="C25" s="5">
        <v>43.6</v>
      </c>
      <c r="D25" s="5">
        <v>64.8</v>
      </c>
      <c r="E25" s="5">
        <v>125.9</v>
      </c>
      <c r="F25" s="5">
        <v>189.4</v>
      </c>
      <c r="G25" s="5">
        <v>230.8</v>
      </c>
      <c r="H25" s="5">
        <v>250.3</v>
      </c>
      <c r="I25" s="5">
        <v>321.5</v>
      </c>
      <c r="J25" s="5">
        <v>350.4</v>
      </c>
      <c r="K25" s="5">
        <v>333.6</v>
      </c>
    </row>
    <row r="26" spans="1:11" x14ac:dyDescent="0.15">
      <c r="A26" s="48" t="s">
        <v>105</v>
      </c>
      <c r="B26" s="49">
        <v>56.5</v>
      </c>
      <c r="C26" s="49">
        <v>71.3</v>
      </c>
      <c r="D26" s="49">
        <v>96.3</v>
      </c>
      <c r="E26" s="49">
        <v>168.4</v>
      </c>
      <c r="F26" s="49">
        <v>248.2</v>
      </c>
      <c r="G26" s="49">
        <v>310</v>
      </c>
      <c r="H26" s="49">
        <v>343.4</v>
      </c>
      <c r="I26" s="49">
        <v>442.6</v>
      </c>
      <c r="J26" s="49">
        <v>510.3</v>
      </c>
      <c r="K26" s="49">
        <v>534.70000000000005</v>
      </c>
    </row>
    <row r="27" spans="1:11" x14ac:dyDescent="0.15">
      <c r="A27" s="50" t="s">
        <v>106</v>
      </c>
      <c r="B27" s="51">
        <v>4.4000000000000004</v>
      </c>
      <c r="C27" s="51">
        <v>8.8000000000000007</v>
      </c>
      <c r="D27" s="51">
        <v>19</v>
      </c>
      <c r="E27" s="51">
        <v>42.3</v>
      </c>
      <c r="F27" s="51">
        <v>75.8</v>
      </c>
      <c r="G27" s="51">
        <v>72.099999999999994</v>
      </c>
      <c r="H27" s="51">
        <v>73.599999999999994</v>
      </c>
      <c r="I27" s="51">
        <v>78</v>
      </c>
      <c r="J27" s="51">
        <v>82.2</v>
      </c>
      <c r="K27" s="51">
        <v>83.6</v>
      </c>
    </row>
    <row r="28" spans="1:11" x14ac:dyDescent="0.15">
      <c r="A28" s="52" t="s">
        <v>107</v>
      </c>
      <c r="B28" s="55"/>
      <c r="C28" s="55"/>
      <c r="D28" s="55"/>
      <c r="E28" s="47">
        <v>5.4</v>
      </c>
      <c r="F28" s="47">
        <v>9.6999999999999993</v>
      </c>
      <c r="G28" s="47">
        <v>15.7</v>
      </c>
      <c r="H28" s="47">
        <v>14.5</v>
      </c>
      <c r="I28" s="47">
        <v>14.7</v>
      </c>
      <c r="J28" s="47">
        <v>15.5</v>
      </c>
      <c r="K28" s="47">
        <v>15.6</v>
      </c>
    </row>
    <row r="29" spans="1:11" x14ac:dyDescent="0.15">
      <c r="A29" s="50" t="s">
        <v>108</v>
      </c>
      <c r="B29" s="51">
        <v>36.200000000000003</v>
      </c>
      <c r="C29" s="51">
        <v>41.4</v>
      </c>
      <c r="D29" s="51">
        <v>41.3</v>
      </c>
      <c r="E29" s="51">
        <v>57.3</v>
      </c>
      <c r="F29" s="51">
        <v>81.3</v>
      </c>
      <c r="G29" s="51">
        <v>106.6</v>
      </c>
      <c r="H29" s="51">
        <v>122.7</v>
      </c>
      <c r="I29" s="51">
        <v>149.5</v>
      </c>
      <c r="J29" s="51">
        <v>177.3</v>
      </c>
      <c r="K29" s="51">
        <v>193.9</v>
      </c>
    </row>
    <row r="30" spans="1:11" x14ac:dyDescent="0.15">
      <c r="A30" s="52" t="s">
        <v>109</v>
      </c>
      <c r="B30" s="47">
        <v>5.3</v>
      </c>
      <c r="C30" s="47">
        <v>7.8</v>
      </c>
      <c r="D30" s="47">
        <v>14.4</v>
      </c>
      <c r="E30" s="47">
        <v>16.899999999999999</v>
      </c>
      <c r="F30" s="47">
        <v>19.899999999999999</v>
      </c>
      <c r="G30" s="47">
        <v>25.7</v>
      </c>
      <c r="H30" s="47">
        <v>30.3</v>
      </c>
      <c r="I30" s="47">
        <v>35.5</v>
      </c>
      <c r="J30" s="47">
        <v>38.6</v>
      </c>
      <c r="K30" s="47">
        <v>40.4</v>
      </c>
    </row>
    <row r="31" spans="1:11" x14ac:dyDescent="0.15">
      <c r="A31" s="50" t="s">
        <v>110</v>
      </c>
      <c r="B31" s="51">
        <v>2.5</v>
      </c>
      <c r="C31" s="51">
        <v>3.3</v>
      </c>
      <c r="D31" s="51">
        <v>3.9</v>
      </c>
      <c r="E31" s="51">
        <v>5</v>
      </c>
      <c r="F31" s="51">
        <v>6.2</v>
      </c>
      <c r="G31" s="51">
        <v>7.4</v>
      </c>
      <c r="H31" s="51">
        <v>12.5</v>
      </c>
      <c r="I31" s="51">
        <v>15.5</v>
      </c>
      <c r="J31" s="51">
        <v>23.3</v>
      </c>
      <c r="K31" s="51">
        <v>25.6</v>
      </c>
    </row>
    <row r="32" spans="1:11" x14ac:dyDescent="0.15">
      <c r="A32" s="52" t="s">
        <v>111</v>
      </c>
      <c r="B32" s="47">
        <v>8.1</v>
      </c>
      <c r="C32" s="47">
        <v>9.9</v>
      </c>
      <c r="D32" s="47">
        <v>17.600000000000001</v>
      </c>
      <c r="E32" s="47">
        <v>23.9</v>
      </c>
      <c r="F32" s="47">
        <v>29.3</v>
      </c>
      <c r="G32" s="47">
        <v>43.8</v>
      </c>
      <c r="H32" s="47">
        <v>41.7</v>
      </c>
      <c r="I32" s="47">
        <v>65.099999999999994</v>
      </c>
      <c r="J32" s="47">
        <v>69.400000000000006</v>
      </c>
      <c r="K32" s="47">
        <v>76.7</v>
      </c>
    </row>
    <row r="33" spans="1:11" x14ac:dyDescent="0.15">
      <c r="A33" s="50" t="s">
        <v>112</v>
      </c>
      <c r="B33" s="57"/>
      <c r="C33" s="57"/>
      <c r="D33" s="57"/>
      <c r="E33" s="51">
        <v>17.5</v>
      </c>
      <c r="F33" s="51">
        <v>26.1</v>
      </c>
      <c r="G33" s="51">
        <v>38.799999999999997</v>
      </c>
      <c r="H33" s="51">
        <v>48.1</v>
      </c>
      <c r="I33" s="51">
        <v>84.3</v>
      </c>
      <c r="J33" s="51">
        <v>104</v>
      </c>
      <c r="K33" s="51">
        <v>99</v>
      </c>
    </row>
    <row r="34" spans="1:11" x14ac:dyDescent="0.15">
      <c r="A34" s="46" t="s">
        <v>113</v>
      </c>
      <c r="B34" s="47">
        <v>24.2</v>
      </c>
      <c r="C34" s="47">
        <v>27.6</v>
      </c>
      <c r="D34" s="47">
        <v>31.5</v>
      </c>
      <c r="E34" s="47">
        <v>42.5</v>
      </c>
      <c r="F34" s="47">
        <v>58.7</v>
      </c>
      <c r="G34" s="47">
        <v>79.3</v>
      </c>
      <c r="H34" s="47">
        <v>93.1</v>
      </c>
      <c r="I34" s="47">
        <v>121.1</v>
      </c>
      <c r="J34" s="47">
        <v>159.9</v>
      </c>
      <c r="K34" s="47">
        <v>201</v>
      </c>
    </row>
    <row r="35" spans="1:11" x14ac:dyDescent="0.15">
      <c r="A35" s="4" t="s">
        <v>114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3.6</v>
      </c>
      <c r="H35" s="5">
        <v>5.0999999999999996</v>
      </c>
      <c r="I35" s="5">
        <v>3.4</v>
      </c>
      <c r="J35" s="5">
        <v>5.7</v>
      </c>
      <c r="K35" s="5">
        <v>1.1000000000000001</v>
      </c>
    </row>
    <row r="36" spans="1:11" x14ac:dyDescent="0.15">
      <c r="A36" s="46" t="s">
        <v>115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3.6</v>
      </c>
      <c r="H36" s="47">
        <v>5.0999999999999996</v>
      </c>
      <c r="I36" s="47">
        <v>3.4</v>
      </c>
      <c r="J36" s="47">
        <v>5.7</v>
      </c>
      <c r="K36" s="47">
        <v>1.1000000000000001</v>
      </c>
    </row>
    <row r="37" spans="1:11" x14ac:dyDescent="0.15">
      <c r="A37" s="4" t="s">
        <v>116</v>
      </c>
      <c r="B37" s="5">
        <v>115.6</v>
      </c>
      <c r="C37" s="5">
        <v>178.5</v>
      </c>
      <c r="D37" s="5">
        <v>172.8</v>
      </c>
      <c r="E37" s="5">
        <v>175.5</v>
      </c>
      <c r="F37" s="5">
        <v>493.8</v>
      </c>
      <c r="G37" s="5">
        <v>520.29999999999995</v>
      </c>
      <c r="H37" s="5">
        <v>503</v>
      </c>
      <c r="I37" s="5">
        <v>1119.9000000000001</v>
      </c>
      <c r="J37" s="5">
        <v>1088.4000000000001</v>
      </c>
      <c r="K37" s="5">
        <v>483</v>
      </c>
    </row>
    <row r="38" spans="1:11" x14ac:dyDescent="0.15">
      <c r="A38" s="46" t="s">
        <v>32</v>
      </c>
      <c r="B38" s="47">
        <v>57.8</v>
      </c>
      <c r="C38" s="47">
        <v>88.4</v>
      </c>
      <c r="D38" s="47">
        <v>88.9</v>
      </c>
      <c r="E38" s="47">
        <v>93.5</v>
      </c>
      <c r="F38" s="47">
        <v>289.3</v>
      </c>
      <c r="G38" s="47">
        <v>323.3</v>
      </c>
      <c r="H38" s="47">
        <v>324</v>
      </c>
      <c r="I38" s="47">
        <v>636.6</v>
      </c>
      <c r="J38" s="47">
        <v>639.5</v>
      </c>
      <c r="K38" s="47">
        <v>83.6</v>
      </c>
    </row>
    <row r="39" spans="1:11" x14ac:dyDescent="0.15">
      <c r="A39" s="54" t="s">
        <v>117</v>
      </c>
      <c r="B39" s="51">
        <v>57.9</v>
      </c>
      <c r="C39" s="51">
        <v>90</v>
      </c>
      <c r="D39" s="51">
        <v>84</v>
      </c>
      <c r="E39" s="51">
        <v>81.900000000000006</v>
      </c>
      <c r="F39" s="51">
        <v>204.5</v>
      </c>
      <c r="G39" s="51">
        <v>197</v>
      </c>
      <c r="H39" s="51">
        <v>179</v>
      </c>
      <c r="I39" s="51">
        <v>483.3</v>
      </c>
      <c r="J39" s="51">
        <v>448.9</v>
      </c>
      <c r="K39" s="51">
        <v>399.4</v>
      </c>
    </row>
    <row r="40" spans="1:11" x14ac:dyDescent="0.15">
      <c r="A40" s="56" t="s">
        <v>118</v>
      </c>
      <c r="B40" s="47">
        <v>4.0999999999999996</v>
      </c>
      <c r="C40" s="47">
        <v>13.9</v>
      </c>
      <c r="D40" s="47">
        <v>27.6</v>
      </c>
      <c r="E40" s="47">
        <v>43.8</v>
      </c>
      <c r="F40" s="47">
        <v>57.1</v>
      </c>
      <c r="G40" s="47">
        <v>69</v>
      </c>
      <c r="H40" s="47">
        <v>94</v>
      </c>
      <c r="I40" s="47">
        <v>118.5</v>
      </c>
      <c r="J40" s="47">
        <v>145.9</v>
      </c>
      <c r="K40" s="47">
        <v>144.4</v>
      </c>
    </row>
    <row r="41" spans="1:11" x14ac:dyDescent="0.15">
      <c r="A41" s="4" t="s">
        <v>119</v>
      </c>
      <c r="B41" s="5">
        <v>0.7</v>
      </c>
      <c r="C41" s="5">
        <v>0.6</v>
      </c>
      <c r="D41" s="5">
        <v>0.4</v>
      </c>
      <c r="E41" s="5">
        <v>0.5</v>
      </c>
      <c r="F41" s="5">
        <v>2</v>
      </c>
      <c r="G41" s="5">
        <v>1.4</v>
      </c>
      <c r="H41" s="5">
        <v>5</v>
      </c>
      <c r="I41" s="5">
        <v>8.1</v>
      </c>
      <c r="J41" s="5">
        <v>15.8</v>
      </c>
      <c r="K41" s="5">
        <v>17.899999999999999</v>
      </c>
    </row>
    <row r="42" spans="1:11" x14ac:dyDescent="0.15">
      <c r="A42" s="46" t="s">
        <v>120</v>
      </c>
      <c r="B42" s="47">
        <v>0.7</v>
      </c>
      <c r="C42" s="47">
        <v>0.6</v>
      </c>
      <c r="D42" s="47">
        <v>0.4</v>
      </c>
      <c r="E42" s="47">
        <v>0.5</v>
      </c>
      <c r="F42" s="47">
        <v>2</v>
      </c>
      <c r="G42" s="47">
        <v>1.4</v>
      </c>
      <c r="H42" s="47">
        <v>5</v>
      </c>
      <c r="I42" s="47">
        <v>8.1</v>
      </c>
      <c r="J42" s="47">
        <v>15.8</v>
      </c>
      <c r="K42" s="47">
        <v>17.899999999999999</v>
      </c>
    </row>
    <row r="43" spans="1:11" x14ac:dyDescent="0.15">
      <c r="A43" s="58" t="s">
        <v>121</v>
      </c>
      <c r="B43" s="51">
        <v>335.6</v>
      </c>
      <c r="C43" s="51">
        <v>436.4</v>
      </c>
      <c r="D43" s="51">
        <v>497.5</v>
      </c>
      <c r="E43" s="51">
        <v>627.4</v>
      </c>
      <c r="F43" s="51">
        <v>1324.3</v>
      </c>
      <c r="G43" s="51">
        <v>1549.7</v>
      </c>
      <c r="H43" s="51">
        <v>1655</v>
      </c>
      <c r="I43" s="51">
        <v>2339.5</v>
      </c>
      <c r="J43" s="51">
        <v>2333.8000000000002</v>
      </c>
      <c r="K43" s="51">
        <v>1725.7</v>
      </c>
    </row>
    <row r="44" spans="1:11" x14ac:dyDescent="0.15">
      <c r="A44" s="45" t="s">
        <v>122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</row>
    <row r="45" spans="1:11" x14ac:dyDescent="0.15">
      <c r="A45" s="4" t="s">
        <v>123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</row>
    <row r="46" spans="1:11" x14ac:dyDescent="0.15">
      <c r="A46" s="46" t="s">
        <v>124</v>
      </c>
      <c r="B46" s="59">
        <v>3.63</v>
      </c>
      <c r="C46" s="59">
        <v>5.04</v>
      </c>
      <c r="D46" s="59">
        <v>6.92</v>
      </c>
      <c r="E46" s="59">
        <v>6.24</v>
      </c>
      <c r="F46" s="59">
        <v>19.25</v>
      </c>
      <c r="G46" s="59">
        <v>26.6</v>
      </c>
      <c r="H46" s="59">
        <v>10.31</v>
      </c>
      <c r="I46" s="59">
        <v>14.12</v>
      </c>
      <c r="J46" s="59">
        <v>40.97</v>
      </c>
      <c r="K46" s="59">
        <v>43.1</v>
      </c>
    </row>
    <row r="47" spans="1:11" x14ac:dyDescent="0.15">
      <c r="A47" s="54" t="s">
        <v>125</v>
      </c>
      <c r="B47" s="60">
        <v>42.06</v>
      </c>
      <c r="C47" s="60">
        <v>40.81</v>
      </c>
      <c r="D47" s="60">
        <v>55.09</v>
      </c>
      <c r="E47" s="60">
        <v>55.14</v>
      </c>
      <c r="F47" s="60">
        <v>92.4</v>
      </c>
      <c r="G47" s="60">
        <v>99.98</v>
      </c>
      <c r="H47" s="60">
        <v>131.16</v>
      </c>
      <c r="I47" s="60">
        <v>104.15</v>
      </c>
      <c r="J47" s="60">
        <v>135.80000000000001</v>
      </c>
      <c r="K47" s="60">
        <v>141.38</v>
      </c>
    </row>
    <row r="48" spans="1:11" x14ac:dyDescent="0.15">
      <c r="A48" s="46" t="s">
        <v>126</v>
      </c>
      <c r="B48" s="59">
        <v>4.49</v>
      </c>
      <c r="C48" s="59">
        <v>6.77</v>
      </c>
      <c r="D48" s="59">
        <v>6.69</v>
      </c>
      <c r="E48" s="59">
        <v>4.3</v>
      </c>
      <c r="F48" s="59">
        <v>7.6</v>
      </c>
      <c r="G48" s="59">
        <v>34.85</v>
      </c>
      <c r="H48" s="59">
        <v>40.700000000000003</v>
      </c>
      <c r="I48" s="59">
        <v>21.74</v>
      </c>
      <c r="J48" s="59">
        <v>9.34</v>
      </c>
      <c r="K48" s="59">
        <v>7.35</v>
      </c>
    </row>
    <row r="49" spans="1:11" x14ac:dyDescent="0.15">
      <c r="A49" s="9" t="s">
        <v>127</v>
      </c>
      <c r="B49" s="23">
        <v>36.86</v>
      </c>
      <c r="C49" s="23">
        <v>30.58</v>
      </c>
      <c r="D49" s="23">
        <v>28.09</v>
      </c>
      <c r="E49" s="23">
        <v>26.13</v>
      </c>
      <c r="F49" s="23">
        <v>46.14</v>
      </c>
      <c r="G49" s="23">
        <v>68.44</v>
      </c>
      <c r="H49" s="23">
        <v>76.709999999999994</v>
      </c>
      <c r="I49" s="23">
        <v>67.540000000000006</v>
      </c>
      <c r="J49" s="23">
        <v>73.67</v>
      </c>
      <c r="K49" s="23">
        <v>68.52</v>
      </c>
    </row>
    <row r="50" spans="1:11" x14ac:dyDescent="0.15">
      <c r="A50" s="52" t="s">
        <v>128</v>
      </c>
      <c r="B50" s="59">
        <v>10.72</v>
      </c>
      <c r="C50" s="59">
        <v>13.21</v>
      </c>
      <c r="D50" s="59">
        <v>15.87</v>
      </c>
      <c r="E50" s="59">
        <v>14.6</v>
      </c>
      <c r="F50" s="59">
        <v>22.41</v>
      </c>
      <c r="G50" s="59">
        <v>32.97</v>
      </c>
      <c r="H50" s="59">
        <v>38.19</v>
      </c>
      <c r="I50" s="59">
        <v>17.989999999999998</v>
      </c>
      <c r="J50" s="59">
        <v>24.4</v>
      </c>
      <c r="K50" s="59">
        <v>32.74</v>
      </c>
    </row>
    <row r="51" spans="1:11" x14ac:dyDescent="0.15">
      <c r="A51" s="50" t="s">
        <v>129</v>
      </c>
      <c r="B51" s="60">
        <v>26.14</v>
      </c>
      <c r="C51" s="60">
        <v>17.37</v>
      </c>
      <c r="D51" s="60">
        <v>12.22</v>
      </c>
      <c r="E51" s="60">
        <v>11.54</v>
      </c>
      <c r="F51" s="60">
        <v>23.73</v>
      </c>
      <c r="G51" s="60">
        <v>35.47</v>
      </c>
      <c r="H51" s="60">
        <v>38.520000000000003</v>
      </c>
      <c r="I51" s="60">
        <v>49.55</v>
      </c>
      <c r="J51" s="60">
        <v>49.26</v>
      </c>
      <c r="K51" s="60">
        <v>35.78</v>
      </c>
    </row>
    <row r="52" spans="1:11" x14ac:dyDescent="0.15">
      <c r="A52" s="46" t="s">
        <v>130</v>
      </c>
      <c r="B52" s="59">
        <v>87.04</v>
      </c>
      <c r="C52" s="59">
        <v>83.2</v>
      </c>
      <c r="D52" s="59">
        <v>96.79</v>
      </c>
      <c r="E52" s="59">
        <v>91.81</v>
      </c>
      <c r="F52" s="59">
        <v>165.39</v>
      </c>
      <c r="G52" s="59">
        <v>229.86</v>
      </c>
      <c r="H52" s="59">
        <v>258.89</v>
      </c>
      <c r="I52" s="59">
        <v>207.55</v>
      </c>
      <c r="J52" s="59">
        <v>259.77999999999997</v>
      </c>
      <c r="K52" s="59">
        <v>260.35000000000002</v>
      </c>
    </row>
    <row r="53" spans="1:11" x14ac:dyDescent="0.15">
      <c r="A53" s="4" t="s">
        <v>131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</row>
    <row r="54" spans="1:11" x14ac:dyDescent="0.15">
      <c r="A54" s="48" t="s">
        <v>132</v>
      </c>
      <c r="B54" s="49">
        <v>63.1</v>
      </c>
      <c r="C54" s="49">
        <v>93.6</v>
      </c>
      <c r="D54" s="49">
        <v>52.5</v>
      </c>
      <c r="E54" s="49">
        <v>79.599999999999994</v>
      </c>
      <c r="F54" s="49">
        <v>396.2</v>
      </c>
      <c r="G54" s="49">
        <v>389.9</v>
      </c>
      <c r="H54" s="49">
        <v>237.1</v>
      </c>
      <c r="I54" s="49">
        <v>812.8</v>
      </c>
      <c r="J54" s="49">
        <v>680.8</v>
      </c>
      <c r="K54" s="49">
        <v>736.5</v>
      </c>
    </row>
    <row r="55" spans="1:11" x14ac:dyDescent="0.15">
      <c r="A55" s="50" t="s">
        <v>133</v>
      </c>
      <c r="B55" s="51">
        <v>63.1</v>
      </c>
      <c r="C55" s="51">
        <v>93.6</v>
      </c>
      <c r="D55" s="51">
        <v>52.5</v>
      </c>
      <c r="E55" s="51">
        <v>68</v>
      </c>
      <c r="F55" s="51">
        <v>377.1</v>
      </c>
      <c r="G55" s="51">
        <v>361</v>
      </c>
      <c r="H55" s="51">
        <v>200</v>
      </c>
      <c r="I55" s="51">
        <v>743.5</v>
      </c>
      <c r="J55" s="51">
        <v>680.8</v>
      </c>
      <c r="K55" s="51">
        <v>646.70000000000005</v>
      </c>
    </row>
    <row r="56" spans="1:11" x14ac:dyDescent="0.15">
      <c r="A56" s="52" t="s">
        <v>134</v>
      </c>
      <c r="B56" s="47">
        <v>0</v>
      </c>
      <c r="C56" s="47">
        <v>0</v>
      </c>
      <c r="D56" s="47">
        <v>0</v>
      </c>
      <c r="E56" s="47">
        <v>11.6</v>
      </c>
      <c r="F56" s="47">
        <v>19.100000000000001</v>
      </c>
      <c r="G56" s="47">
        <v>28.9</v>
      </c>
      <c r="H56" s="47">
        <v>37.1</v>
      </c>
      <c r="I56" s="47">
        <v>69.2</v>
      </c>
      <c r="J56" s="47">
        <v>0</v>
      </c>
      <c r="K56" s="47">
        <v>89.8</v>
      </c>
    </row>
    <row r="57" spans="1:11" x14ac:dyDescent="0.15">
      <c r="A57" s="54" t="s">
        <v>135</v>
      </c>
      <c r="B57" s="57"/>
      <c r="C57" s="51">
        <v>11.2</v>
      </c>
      <c r="D57" s="51">
        <v>12.3</v>
      </c>
      <c r="E57" s="51">
        <v>18.100000000000001</v>
      </c>
      <c r="F57" s="51">
        <v>37.799999999999997</v>
      </c>
      <c r="G57" s="51">
        <v>34</v>
      </c>
      <c r="H57" s="51">
        <v>36.700000000000003</v>
      </c>
      <c r="I57" s="51">
        <v>97.2</v>
      </c>
      <c r="J57" s="51">
        <v>99</v>
      </c>
      <c r="K57" s="51">
        <v>54</v>
      </c>
    </row>
    <row r="58" spans="1:11" x14ac:dyDescent="0.15">
      <c r="A58" s="48" t="s">
        <v>136</v>
      </c>
      <c r="B58" s="49">
        <v>0.6</v>
      </c>
      <c r="C58" s="49">
        <v>0.6</v>
      </c>
      <c r="D58" s="49">
        <v>0.5</v>
      </c>
      <c r="E58" s="49">
        <v>0</v>
      </c>
      <c r="F58" s="49">
        <v>5.8</v>
      </c>
      <c r="G58" s="49">
        <v>1.9</v>
      </c>
      <c r="H58" s="49">
        <v>1</v>
      </c>
      <c r="I58" s="49">
        <v>0.2</v>
      </c>
      <c r="J58" s="49">
        <v>93.1</v>
      </c>
      <c r="K58" s="49">
        <v>4.9000000000000004</v>
      </c>
    </row>
    <row r="59" spans="1:11" x14ac:dyDescent="0.15">
      <c r="A59" s="50" t="s">
        <v>137</v>
      </c>
      <c r="B59" s="51">
        <v>0.6</v>
      </c>
      <c r="C59" s="51">
        <v>0.6</v>
      </c>
      <c r="D59" s="51">
        <v>0.5</v>
      </c>
      <c r="E59" s="51">
        <v>0</v>
      </c>
      <c r="F59" s="51">
        <v>5.8</v>
      </c>
      <c r="G59" s="51">
        <v>1.9</v>
      </c>
      <c r="H59" s="51">
        <v>1</v>
      </c>
      <c r="I59" s="51">
        <v>0.2</v>
      </c>
      <c r="J59" s="51">
        <v>93.1</v>
      </c>
      <c r="K59" s="51">
        <v>4.9000000000000004</v>
      </c>
    </row>
    <row r="60" spans="1:11" x14ac:dyDescent="0.15">
      <c r="A60" s="46" t="s">
        <v>138</v>
      </c>
      <c r="B60" s="47">
        <v>150.69999999999999</v>
      </c>
      <c r="C60" s="47">
        <v>188.7</v>
      </c>
      <c r="D60" s="47">
        <v>162</v>
      </c>
      <c r="E60" s="47">
        <v>189.5</v>
      </c>
      <c r="F60" s="47">
        <v>605.20000000000005</v>
      </c>
      <c r="G60" s="47">
        <v>655.7</v>
      </c>
      <c r="H60" s="47">
        <v>533.6</v>
      </c>
      <c r="I60" s="47">
        <v>1117.8</v>
      </c>
      <c r="J60" s="47">
        <v>1132.7</v>
      </c>
      <c r="K60" s="47">
        <v>1055.7</v>
      </c>
    </row>
    <row r="61" spans="1:11" x14ac:dyDescent="0.15">
      <c r="A61" s="4" t="s">
        <v>139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</row>
    <row r="62" spans="1:11" x14ac:dyDescent="0.15">
      <c r="A62" s="48" t="s">
        <v>140</v>
      </c>
      <c r="B62" s="49">
        <v>184.9</v>
      </c>
      <c r="C62" s="49">
        <v>234.8</v>
      </c>
      <c r="D62" s="49">
        <v>321.2</v>
      </c>
      <c r="E62" s="49">
        <v>422.2</v>
      </c>
      <c r="F62" s="49">
        <v>719.2</v>
      </c>
      <c r="G62" s="49">
        <v>894.1</v>
      </c>
      <c r="H62" s="49">
        <v>1121.4000000000001</v>
      </c>
      <c r="I62" s="49">
        <v>1221.8</v>
      </c>
      <c r="J62" s="49">
        <v>1201.2</v>
      </c>
      <c r="K62" s="49">
        <v>670.2</v>
      </c>
    </row>
    <row r="63" spans="1:11" x14ac:dyDescent="0.15">
      <c r="A63" s="50" t="s">
        <v>141</v>
      </c>
      <c r="B63" s="51">
        <v>0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</row>
    <row r="64" spans="1:11" x14ac:dyDescent="0.15">
      <c r="A64" s="52" t="s">
        <v>142</v>
      </c>
      <c r="B64" s="47">
        <v>108</v>
      </c>
      <c r="C64" s="47">
        <v>112.8</v>
      </c>
      <c r="D64" s="47">
        <v>116</v>
      </c>
      <c r="E64" s="47">
        <v>123.3</v>
      </c>
      <c r="F64" s="47">
        <v>336.8</v>
      </c>
      <c r="G64" s="47">
        <v>344.1</v>
      </c>
      <c r="H64" s="47">
        <v>356.2</v>
      </c>
      <c r="I64" s="47">
        <v>348.3</v>
      </c>
      <c r="J64" s="47">
        <v>339.3</v>
      </c>
      <c r="K64" s="47">
        <v>352.2</v>
      </c>
    </row>
    <row r="65" spans="1:11" x14ac:dyDescent="0.15">
      <c r="A65" s="50" t="s">
        <v>143</v>
      </c>
      <c r="B65" s="51">
        <v>92.8</v>
      </c>
      <c r="C65" s="51">
        <v>135.9</v>
      </c>
      <c r="D65" s="51">
        <v>219.7</v>
      </c>
      <c r="E65" s="51">
        <v>312.5</v>
      </c>
      <c r="F65" s="51">
        <v>395</v>
      </c>
      <c r="G65" s="51">
        <v>558.79999999999995</v>
      </c>
      <c r="H65" s="51">
        <v>764.1</v>
      </c>
      <c r="I65" s="51">
        <v>878.1</v>
      </c>
      <c r="J65" s="51">
        <v>875.4</v>
      </c>
      <c r="K65" s="51">
        <v>330.8</v>
      </c>
    </row>
    <row r="66" spans="1:11" x14ac:dyDescent="0.15">
      <c r="A66" s="52" t="s">
        <v>144</v>
      </c>
      <c r="B66" s="53">
        <v>-2.2000000000000002</v>
      </c>
      <c r="C66" s="53">
        <v>-0.2</v>
      </c>
      <c r="D66" s="53">
        <v>-0.8</v>
      </c>
      <c r="E66" s="47">
        <v>0.2</v>
      </c>
      <c r="F66" s="47">
        <v>1.1000000000000001</v>
      </c>
      <c r="G66" s="47">
        <v>4.9000000000000004</v>
      </c>
      <c r="H66" s="47">
        <v>14.8</v>
      </c>
      <c r="I66" s="47">
        <v>9</v>
      </c>
      <c r="J66" s="53">
        <v>-7.8</v>
      </c>
      <c r="K66" s="47">
        <v>0.5</v>
      </c>
    </row>
    <row r="67" spans="1:11" x14ac:dyDescent="0.15">
      <c r="A67" s="50" t="s">
        <v>145</v>
      </c>
      <c r="B67" s="57"/>
      <c r="C67" s="57"/>
      <c r="D67" s="57"/>
      <c r="E67" s="57"/>
      <c r="F67" s="57"/>
      <c r="G67" s="57"/>
      <c r="H67" s="57"/>
      <c r="I67" s="57"/>
      <c r="J67" s="51">
        <v>8</v>
      </c>
      <c r="K67" s="51">
        <v>0.4</v>
      </c>
    </row>
    <row r="68" spans="1:11" x14ac:dyDescent="0.15">
      <c r="A68" s="52" t="s">
        <v>146</v>
      </c>
      <c r="B68" s="53">
        <v>-13.8</v>
      </c>
      <c r="C68" s="53">
        <v>-13.8</v>
      </c>
      <c r="D68" s="53">
        <v>-13.8</v>
      </c>
      <c r="E68" s="53">
        <v>-13.8</v>
      </c>
      <c r="F68" s="53">
        <v>-13.8</v>
      </c>
      <c r="G68" s="53">
        <v>-13.8</v>
      </c>
      <c r="H68" s="53">
        <v>-13.8</v>
      </c>
      <c r="I68" s="53">
        <v>-13.8</v>
      </c>
      <c r="J68" s="53">
        <v>-13.8</v>
      </c>
      <c r="K68" s="53">
        <v>-13.8</v>
      </c>
    </row>
    <row r="69" spans="1:11" x14ac:dyDescent="0.15">
      <c r="A69" s="54" t="s">
        <v>147</v>
      </c>
      <c r="B69" s="51">
        <v>184.9</v>
      </c>
      <c r="C69" s="51">
        <v>234.8</v>
      </c>
      <c r="D69" s="51">
        <v>321.2</v>
      </c>
      <c r="E69" s="51">
        <v>422.2</v>
      </c>
      <c r="F69" s="51">
        <v>719.2</v>
      </c>
      <c r="G69" s="51">
        <v>894.1</v>
      </c>
      <c r="H69" s="51">
        <v>1121.4000000000001</v>
      </c>
      <c r="I69" s="51">
        <v>1221.8</v>
      </c>
      <c r="J69" s="51">
        <v>1201.2</v>
      </c>
      <c r="K69" s="51">
        <v>670.2</v>
      </c>
    </row>
    <row r="70" spans="1:11" x14ac:dyDescent="0.15">
      <c r="A70" s="46" t="s">
        <v>148</v>
      </c>
      <c r="B70" s="47">
        <v>0</v>
      </c>
      <c r="C70" s="47">
        <v>13</v>
      </c>
      <c r="D70" s="47">
        <v>14.3</v>
      </c>
      <c r="E70" s="47">
        <v>15.7</v>
      </c>
      <c r="F70" s="47">
        <v>0</v>
      </c>
      <c r="G70" s="47">
        <v>0</v>
      </c>
      <c r="H70" s="47">
        <v>0</v>
      </c>
      <c r="I70" s="47">
        <v>0</v>
      </c>
      <c r="J70" s="53">
        <v>0</v>
      </c>
      <c r="K70" s="53">
        <v>-0.2</v>
      </c>
    </row>
    <row r="71" spans="1:11" x14ac:dyDescent="0.15">
      <c r="A71" s="54" t="s">
        <v>149</v>
      </c>
      <c r="B71" s="51">
        <v>184.9</v>
      </c>
      <c r="C71" s="51">
        <v>247.8</v>
      </c>
      <c r="D71" s="51">
        <v>335.5</v>
      </c>
      <c r="E71" s="51">
        <v>437.9</v>
      </c>
      <c r="F71" s="51">
        <v>719.2</v>
      </c>
      <c r="G71" s="51">
        <v>894.1</v>
      </c>
      <c r="H71" s="51">
        <v>1121.4000000000001</v>
      </c>
      <c r="I71" s="51">
        <v>1221.8</v>
      </c>
      <c r="J71" s="51">
        <v>1201.0999999999999</v>
      </c>
      <c r="K71" s="51">
        <v>670</v>
      </c>
    </row>
    <row r="72" spans="1:11" x14ac:dyDescent="0.15">
      <c r="A72" s="56" t="s">
        <v>150</v>
      </c>
      <c r="B72" s="47">
        <v>335.6</v>
      </c>
      <c r="C72" s="47">
        <v>436.4</v>
      </c>
      <c r="D72" s="47">
        <v>497.5</v>
      </c>
      <c r="E72" s="47">
        <v>627.4</v>
      </c>
      <c r="F72" s="47">
        <v>1324.3</v>
      </c>
      <c r="G72" s="47">
        <v>1549.7</v>
      </c>
      <c r="H72" s="47">
        <v>1655</v>
      </c>
      <c r="I72" s="47">
        <v>2339.5</v>
      </c>
      <c r="J72" s="47">
        <v>2333.8000000000002</v>
      </c>
      <c r="K72" s="47">
        <v>1725.7</v>
      </c>
    </row>
    <row r="73" spans="1:11" x14ac:dyDescent="0.15">
      <c r="A73" s="15" t="s">
        <v>49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</row>
    <row r="74" spans="1:11" x14ac:dyDescent="0.15">
      <c r="A74" s="56" t="s">
        <v>151</v>
      </c>
      <c r="B74" s="59">
        <v>5.01</v>
      </c>
      <c r="C74" s="59">
        <v>6.24</v>
      </c>
      <c r="D74" s="59">
        <v>8.4499999999999993</v>
      </c>
      <c r="E74" s="59">
        <v>10.95</v>
      </c>
      <c r="F74" s="59">
        <v>17.2</v>
      </c>
      <c r="G74" s="59">
        <v>21.23</v>
      </c>
      <c r="H74" s="59">
        <v>26.53</v>
      </c>
      <c r="I74" s="59">
        <v>29.12</v>
      </c>
      <c r="J74" s="59">
        <v>28.82</v>
      </c>
      <c r="K74" s="59">
        <v>16.03</v>
      </c>
    </row>
    <row r="75" spans="1:11" x14ac:dyDescent="0.15">
      <c r="A75" s="58" t="s">
        <v>152</v>
      </c>
      <c r="B75" s="60">
        <v>1.88</v>
      </c>
      <c r="C75" s="60">
        <v>1.5</v>
      </c>
      <c r="D75" s="60">
        <v>3.91</v>
      </c>
      <c r="E75" s="60">
        <v>6.4</v>
      </c>
      <c r="F75" s="60">
        <v>5.39</v>
      </c>
      <c r="G75" s="60">
        <v>8.8699999999999992</v>
      </c>
      <c r="H75" s="60">
        <v>14.63</v>
      </c>
      <c r="I75" s="60">
        <v>2.4300000000000002</v>
      </c>
      <c r="J75" s="60">
        <v>2.71</v>
      </c>
      <c r="K75" s="60">
        <v>4.4800000000000004</v>
      </c>
    </row>
    <row r="76" spans="1:11" x14ac:dyDescent="0.15">
      <c r="A76" s="26" t="s">
        <v>59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BE824-9CFC-3947-8660-2EF5AEB9AA20}">
  <dimension ref="A1:V25"/>
  <sheetViews>
    <sheetView zoomScale="94" workbookViewId="0">
      <selection activeCell="V10" sqref="V10"/>
    </sheetView>
  </sheetViews>
  <sheetFormatPr baseColWidth="10" defaultRowHeight="24" customHeight="1" x14ac:dyDescent="0.15"/>
  <cols>
    <col min="1" max="1" width="30.1640625" bestFit="1" customWidth="1"/>
  </cols>
  <sheetData>
    <row r="1" spans="1:22" ht="24" customHeight="1" x14ac:dyDescent="0.2">
      <c r="A1" s="30" t="s">
        <v>161</v>
      </c>
    </row>
    <row r="5" spans="1:22" ht="24" customHeight="1" x14ac:dyDescent="0.15">
      <c r="A5" s="37"/>
      <c r="B5" s="37" t="s">
        <v>88</v>
      </c>
      <c r="C5" s="37" t="s">
        <v>80</v>
      </c>
      <c r="D5" s="37" t="s">
        <v>81</v>
      </c>
      <c r="E5" s="37" t="s">
        <v>82</v>
      </c>
      <c r="F5" s="37" t="s">
        <v>83</v>
      </c>
      <c r="G5" s="37" t="s">
        <v>84</v>
      </c>
      <c r="H5" s="37" t="s">
        <v>85</v>
      </c>
      <c r="I5" s="37" t="s">
        <v>86</v>
      </c>
      <c r="J5" s="37" t="s">
        <v>87</v>
      </c>
      <c r="K5" s="37" t="s">
        <v>79</v>
      </c>
      <c r="L5" s="37" t="s">
        <v>67</v>
      </c>
      <c r="M5" s="37" t="s">
        <v>68</v>
      </c>
      <c r="N5" s="37" t="s">
        <v>69</v>
      </c>
      <c r="O5" s="37" t="s">
        <v>70</v>
      </c>
      <c r="P5" s="37" t="s">
        <v>71</v>
      </c>
      <c r="Q5" s="37" t="s">
        <v>72</v>
      </c>
      <c r="R5" s="37" t="s">
        <v>73</v>
      </c>
      <c r="S5" s="37" t="s">
        <v>74</v>
      </c>
      <c r="T5" s="37" t="s">
        <v>75</v>
      </c>
      <c r="U5" s="37" t="s">
        <v>76</v>
      </c>
      <c r="V5" s="37" t="s">
        <v>77</v>
      </c>
    </row>
    <row r="6" spans="1:22" ht="24" customHeight="1" x14ac:dyDescent="0.15">
      <c r="A6" t="s">
        <v>153</v>
      </c>
      <c r="B6" s="63">
        <f>('Balance Sheet'!B13+'Balance Sheet'!B17+'Balance Sheet'!B21)-('Balance Sheet'!B47+'Balance Sheet'!B48+'Balance Sheet'!B49)</f>
        <v>64.190000000000026</v>
      </c>
      <c r="C6" s="63">
        <f>('Balance Sheet'!C13+'Balance Sheet'!C17+'Balance Sheet'!C21)-('Balance Sheet'!C47+'Balance Sheet'!C48+'Balance Sheet'!C49)</f>
        <v>85.84</v>
      </c>
      <c r="D6" s="63">
        <f>('Balance Sheet'!D13+'Balance Sheet'!D17+'Balance Sheet'!D21)-('Balance Sheet'!D47+'Balance Sheet'!D48+'Balance Sheet'!D49)</f>
        <v>114.13</v>
      </c>
      <c r="E6" s="63">
        <f>('Balance Sheet'!E13+'Balance Sheet'!E17+'Balance Sheet'!E21)-('Balance Sheet'!E47+'Balance Sheet'!E48+'Balance Sheet'!E49)</f>
        <v>152.43</v>
      </c>
      <c r="F6" s="63">
        <f>('Balance Sheet'!F13+'Balance Sheet'!F17+'Balance Sheet'!F21)-('Balance Sheet'!F47+'Balance Sheet'!F48+'Balance Sheet'!F49)</f>
        <v>190.06000000000006</v>
      </c>
      <c r="G6" s="63">
        <f>('Balance Sheet'!G13+'Balance Sheet'!G17+'Balance Sheet'!G21)-('Balance Sheet'!G47+'Balance Sheet'!G48+'Balance Sheet'!G49)</f>
        <v>340.83000000000004</v>
      </c>
      <c r="H6" s="63">
        <f>('Balance Sheet'!H13+'Balance Sheet'!H17+'Balance Sheet'!H21)-('Balance Sheet'!H47+'Balance Sheet'!H48+'Balance Sheet'!H49)</f>
        <v>403.83</v>
      </c>
      <c r="I6" s="63">
        <f>('Balance Sheet'!I13+'Balance Sheet'!I17+'Balance Sheet'!I21)-('Balance Sheet'!I47+'Balance Sheet'!I48+'Balance Sheet'!I49)</f>
        <v>490.96999999999997</v>
      </c>
      <c r="J6" s="63">
        <f>('Balance Sheet'!J13+'Balance Sheet'!J17+'Balance Sheet'!J21)-('Balance Sheet'!J47+'Balance Sheet'!J48+'Balance Sheet'!J49)</f>
        <v>437.09</v>
      </c>
      <c r="K6" s="63">
        <f>('Balance Sheet'!K13+'Balance Sheet'!K17+'Balance Sheet'!K21)-('Balance Sheet'!K47+'Balance Sheet'!K48+'Balance Sheet'!K49)</f>
        <v>470.44999999999993</v>
      </c>
      <c r="L6" s="79">
        <f>L19*NOPAT!L6</f>
        <v>487.62745132499992</v>
      </c>
      <c r="M6" s="79">
        <f>M19*NOPAT!M6</f>
        <v>508.68057303299992</v>
      </c>
      <c r="N6" s="79">
        <f>N19*NOPAT!N6</f>
        <v>530.50461052118999</v>
      </c>
      <c r="O6" s="79">
        <f>O19*NOPAT!O6</f>
        <v>550.5072433769069</v>
      </c>
      <c r="P6" s="79">
        <f>P19*NOPAT!P6</f>
        <v>568.39872878665642</v>
      </c>
      <c r="Q6" s="79">
        <f>Q19*NOPAT!Q6</f>
        <v>583.90927036880066</v>
      </c>
      <c r="R6" s="79">
        <f>R19*NOPAT!R6</f>
        <v>596.79554392176738</v>
      </c>
      <c r="S6" s="79">
        <f>S19*NOPAT!S6</f>
        <v>612.95299801615454</v>
      </c>
      <c r="T6" s="79">
        <f>T19*NOPAT!T6</f>
        <v>629.90701711021848</v>
      </c>
      <c r="U6" s="79">
        <f>U19*NOPAT!U6</f>
        <v>650.06404165774552</v>
      </c>
      <c r="V6" s="79">
        <f>V19*NOPAT!V6</f>
        <v>669.5659629074778</v>
      </c>
    </row>
    <row r="7" spans="1:22" ht="24" customHeight="1" x14ac:dyDescent="0.15">
      <c r="A7" t="s">
        <v>154</v>
      </c>
      <c r="B7" s="63">
        <f>'Balance Sheet'!B25</f>
        <v>32.299999999999997</v>
      </c>
      <c r="C7" s="63">
        <f>'Balance Sheet'!C25</f>
        <v>43.6</v>
      </c>
      <c r="D7" s="63">
        <f>'Balance Sheet'!D25</f>
        <v>64.8</v>
      </c>
      <c r="E7" s="63">
        <f>'Balance Sheet'!E25</f>
        <v>125.9</v>
      </c>
      <c r="F7" s="63">
        <f>'Balance Sheet'!F25</f>
        <v>189.4</v>
      </c>
      <c r="G7" s="63">
        <f>'Balance Sheet'!G25</f>
        <v>230.8</v>
      </c>
      <c r="H7" s="63">
        <f>'Balance Sheet'!H25</f>
        <v>250.3</v>
      </c>
      <c r="I7" s="63">
        <f>'Balance Sheet'!I25</f>
        <v>321.5</v>
      </c>
      <c r="J7" s="63">
        <f>'Balance Sheet'!J25</f>
        <v>350.4</v>
      </c>
      <c r="K7" s="63">
        <f>'Balance Sheet'!K25</f>
        <v>333.6</v>
      </c>
      <c r="L7" s="79">
        <f>L20*NOPAT!L6</f>
        <v>348.30532237499995</v>
      </c>
      <c r="M7" s="79">
        <f>M20*NOPAT!M6</f>
        <v>365.92183156889996</v>
      </c>
      <c r="N7" s="79">
        <f>N20*NOPAT!N6</f>
        <v>382.65906332675996</v>
      </c>
      <c r="O7" s="79">
        <f>O20*NOPAT!O6</f>
        <v>400.03526352055235</v>
      </c>
      <c r="P7" s="79">
        <f>P20*NOPAT!P6</f>
        <v>414.25670064112251</v>
      </c>
      <c r="Q7" s="79">
        <f>Q20*NOPAT!Q6</f>
        <v>428.87129168467089</v>
      </c>
      <c r="R7" s="79">
        <f>R20*NOPAT!R6</f>
        <v>439.74408499498645</v>
      </c>
      <c r="S7" s="79">
        <f>S20*NOPAT!S6</f>
        <v>456.45436022479595</v>
      </c>
      <c r="T7" s="79">
        <f>T20*NOPAT!T6</f>
        <v>472.4302628326638</v>
      </c>
      <c r="U7" s="79">
        <f>U20*NOPAT!U6</f>
        <v>487.54803124330903</v>
      </c>
      <c r="V7" s="79">
        <f>V20*NOPAT!V6</f>
        <v>502.17447218060829</v>
      </c>
    </row>
    <row r="8" spans="1:22" ht="24" customHeight="1" x14ac:dyDescent="0.15">
      <c r="A8" t="s">
        <v>162</v>
      </c>
      <c r="B8" s="63">
        <f>'Balance Sheet'!B33+'Balance Sheet'!B41</f>
        <v>0.7</v>
      </c>
      <c r="C8" s="63">
        <f>'Balance Sheet'!C33+'Balance Sheet'!C41</f>
        <v>0.6</v>
      </c>
      <c r="D8" s="63">
        <f>'Balance Sheet'!D33+'Balance Sheet'!D41</f>
        <v>0.4</v>
      </c>
      <c r="E8" s="63">
        <f>'Balance Sheet'!E33+'Balance Sheet'!E41</f>
        <v>18</v>
      </c>
      <c r="F8" s="63">
        <f>'Balance Sheet'!F33+'Balance Sheet'!F41</f>
        <v>28.1</v>
      </c>
      <c r="G8" s="63">
        <f>'Balance Sheet'!G33+'Balance Sheet'!G41</f>
        <v>40.199999999999996</v>
      </c>
      <c r="H8" s="63">
        <f>'Balance Sheet'!H33+'Balance Sheet'!H41</f>
        <v>53.1</v>
      </c>
      <c r="I8" s="63">
        <f>'Balance Sheet'!I33+'Balance Sheet'!I41</f>
        <v>92.399999999999991</v>
      </c>
      <c r="J8" s="63">
        <f>'Balance Sheet'!J33+'Balance Sheet'!J41</f>
        <v>119.8</v>
      </c>
      <c r="K8" s="63">
        <f>'Balance Sheet'!K33+'Balance Sheet'!K41</f>
        <v>116.9</v>
      </c>
      <c r="L8" s="79">
        <f>L21*NOPAT!L6</f>
        <v>123.84189239999998</v>
      </c>
      <c r="M8" s="79">
        <f>M21*NOPAT!M6</f>
        <v>131.27240594399998</v>
      </c>
      <c r="N8" s="79">
        <f>N21*NOPAT!N6</f>
        <v>135.670031543124</v>
      </c>
      <c r="O8" s="79">
        <f>O21*NOPAT!O6</f>
        <v>139.46183498881641</v>
      </c>
      <c r="P8" s="79">
        <f>P21*NOPAT!P6</f>
        <v>144.50815138643807</v>
      </c>
      <c r="Q8" s="79">
        <f>Q21*NOPAT!Q6</f>
        <v>148.99753795617673</v>
      </c>
      <c r="R8" s="79">
        <f>R21*NOPAT!R6</f>
        <v>152.86342002206672</v>
      </c>
      <c r="S8" s="79">
        <f>S21*NOPAT!S6</f>
        <v>156.49863779135859</v>
      </c>
      <c r="T8" s="79">
        <f>T21*NOPAT!T6</f>
        <v>159.72642219580538</v>
      </c>
      <c r="U8" s="79">
        <f>U21*NOPAT!U6</f>
        <v>162.51601041443638</v>
      </c>
      <c r="V8" s="79">
        <f>V21*NOPAT!V6</f>
        <v>167.39149072686945</v>
      </c>
    </row>
    <row r="9" spans="1:22" ht="24" customHeight="1" x14ac:dyDescent="0.15">
      <c r="A9" t="s">
        <v>163</v>
      </c>
      <c r="B9" s="63">
        <f>-('Balance Sheet'!B57+'Balance Sheet'!B58)</f>
        <v>-0.6</v>
      </c>
      <c r="C9" s="63">
        <f>-('Balance Sheet'!C57+'Balance Sheet'!C58)</f>
        <v>-11.799999999999999</v>
      </c>
      <c r="D9" s="63">
        <f>-('Balance Sheet'!D57+'Balance Sheet'!D58)</f>
        <v>-12.8</v>
      </c>
      <c r="E9" s="63">
        <f>-('Balance Sheet'!E57+'Balance Sheet'!E58)</f>
        <v>-18.100000000000001</v>
      </c>
      <c r="F9" s="63">
        <f>-('Balance Sheet'!F57+'Balance Sheet'!F58)</f>
        <v>-43.599999999999994</v>
      </c>
      <c r="G9" s="63">
        <f>-('Balance Sheet'!G57+'Balance Sheet'!G58)</f>
        <v>-35.9</v>
      </c>
      <c r="H9" s="63">
        <f>-('Balance Sheet'!H57+'Balance Sheet'!H58)</f>
        <v>-37.700000000000003</v>
      </c>
      <c r="I9" s="63">
        <f>-('Balance Sheet'!I57+'Balance Sheet'!I58)</f>
        <v>-97.4</v>
      </c>
      <c r="J9" s="63">
        <f>-('Balance Sheet'!J57+'Balance Sheet'!J58)</f>
        <v>-192.1</v>
      </c>
      <c r="K9" s="63">
        <f>-('Balance Sheet'!K57+'Balance Sheet'!K58)</f>
        <v>-58.9</v>
      </c>
      <c r="L9" s="79">
        <f>L22*NOPAT!L6</f>
        <v>-69.661064474999989</v>
      </c>
      <c r="M9" s="79">
        <f>M22*NOPAT!M6</f>
        <v>-70.558918194899988</v>
      </c>
      <c r="N9" s="79">
        <f>N22*NOPAT!N6</f>
        <v>-73.053093907836001</v>
      </c>
      <c r="O9" s="79">
        <f>O22*NOPAT!O6</f>
        <v>-75.235989928177275</v>
      </c>
      <c r="P9" s="79">
        <f>P22*NOPAT!P6</f>
        <v>-77.071014072766971</v>
      </c>
      <c r="Q9" s="79">
        <f>Q22*NOPAT!Q6</f>
        <v>-80.53920970604149</v>
      </c>
      <c r="R9" s="79">
        <f>R22*NOPAT!R6</f>
        <v>-83.76077809428314</v>
      </c>
      <c r="S9" s="79">
        <f>S22*NOPAT!S6</f>
        <v>-86.943687661865894</v>
      </c>
      <c r="T9" s="79">
        <f>T22*NOPAT!T6</f>
        <v>-89.986716730031205</v>
      </c>
      <c r="U9" s="79">
        <f>U22*NOPAT!U6</f>
        <v>-92.866291665392197</v>
      </c>
      <c r="V9" s="79">
        <f>V22*NOPAT!V6</f>
        <v>-95.652280415353971</v>
      </c>
    </row>
    <row r="10" spans="1:22" s="62" customFormat="1" ht="24" customHeight="1" x14ac:dyDescent="0.15">
      <c r="A10" s="62" t="s">
        <v>155</v>
      </c>
      <c r="B10" s="64">
        <f t="shared" ref="B10:K10" si="0">SUM(B6:B9)</f>
        <v>96.590000000000032</v>
      </c>
      <c r="C10" s="64">
        <f t="shared" si="0"/>
        <v>118.24</v>
      </c>
      <c r="D10" s="64">
        <f t="shared" si="0"/>
        <v>166.53</v>
      </c>
      <c r="E10" s="64">
        <f t="shared" si="0"/>
        <v>278.23</v>
      </c>
      <c r="F10" s="64">
        <f t="shared" si="0"/>
        <v>363.96000000000004</v>
      </c>
      <c r="G10" s="64">
        <f t="shared" si="0"/>
        <v>575.93000000000018</v>
      </c>
      <c r="H10" s="64">
        <f t="shared" si="0"/>
        <v>669.53</v>
      </c>
      <c r="I10" s="64">
        <f t="shared" si="0"/>
        <v>807.47</v>
      </c>
      <c r="J10" s="64">
        <f t="shared" si="0"/>
        <v>715.18999999999994</v>
      </c>
      <c r="K10" s="64">
        <f t="shared" si="0"/>
        <v>862.05</v>
      </c>
      <c r="L10" s="81">
        <f>SUM(L6:L9)</f>
        <v>890.11360162499989</v>
      </c>
      <c r="M10" s="81">
        <f t="shared" ref="M10:V10" si="1">SUM(M6:M9)</f>
        <v>935.31589235099989</v>
      </c>
      <c r="N10" s="81">
        <f t="shared" si="1"/>
        <v>975.78061148323786</v>
      </c>
      <c r="O10" s="81">
        <f t="shared" si="1"/>
        <v>1014.7683519580983</v>
      </c>
      <c r="P10" s="81">
        <f t="shared" si="1"/>
        <v>1050.0925667414501</v>
      </c>
      <c r="Q10" s="81">
        <f t="shared" si="1"/>
        <v>1081.2388903036069</v>
      </c>
      <c r="R10" s="81">
        <f t="shared" si="1"/>
        <v>1105.6422708445375</v>
      </c>
      <c r="S10" s="81">
        <f t="shared" si="1"/>
        <v>1138.9623083704432</v>
      </c>
      <c r="T10" s="81">
        <f t="shared" si="1"/>
        <v>1172.0769854086564</v>
      </c>
      <c r="U10" s="81">
        <f t="shared" si="1"/>
        <v>1207.2617916500985</v>
      </c>
      <c r="V10" s="81">
        <f t="shared" si="1"/>
        <v>1243.4796453996016</v>
      </c>
    </row>
    <row r="11" spans="1:22" ht="24" customHeight="1" x14ac:dyDescent="0.15"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</row>
    <row r="12" spans="1:22" ht="24" customHeight="1" x14ac:dyDescent="0.15">
      <c r="A12" t="s">
        <v>156</v>
      </c>
      <c r="B12" s="63">
        <f>'Balance Sheet'!B37</f>
        <v>115.6</v>
      </c>
      <c r="C12" s="63">
        <f>'Balance Sheet'!C37</f>
        <v>178.5</v>
      </c>
      <c r="D12" s="63">
        <f>'Balance Sheet'!D37</f>
        <v>172.8</v>
      </c>
      <c r="E12" s="63">
        <f>'Balance Sheet'!E37</f>
        <v>175.5</v>
      </c>
      <c r="F12" s="63">
        <f>'Balance Sheet'!F37</f>
        <v>493.8</v>
      </c>
      <c r="G12" s="63">
        <f>'Balance Sheet'!G37</f>
        <v>520.29999999999995</v>
      </c>
      <c r="H12" s="63">
        <f>'Balance Sheet'!H37</f>
        <v>503</v>
      </c>
      <c r="I12" s="63">
        <f>'Balance Sheet'!I37</f>
        <v>1119.9000000000001</v>
      </c>
      <c r="J12" s="63">
        <f>'Balance Sheet'!J37</f>
        <v>1088.4000000000001</v>
      </c>
      <c r="K12" s="63">
        <f>'Balance Sheet'!K37</f>
        <v>483</v>
      </c>
      <c r="L12" s="79">
        <f>L23</f>
        <v>483</v>
      </c>
      <c r="M12" s="79">
        <f t="shared" ref="M12:V12" si="2">M23</f>
        <v>483</v>
      </c>
      <c r="N12" s="79">
        <f t="shared" si="2"/>
        <v>483</v>
      </c>
      <c r="O12" s="79">
        <f t="shared" si="2"/>
        <v>483</v>
      </c>
      <c r="P12" s="79">
        <f t="shared" si="2"/>
        <v>483</v>
      </c>
      <c r="Q12" s="79">
        <f t="shared" si="2"/>
        <v>483</v>
      </c>
      <c r="R12" s="79">
        <f t="shared" si="2"/>
        <v>483</v>
      </c>
      <c r="S12" s="79">
        <f t="shared" si="2"/>
        <v>483</v>
      </c>
      <c r="T12" s="79">
        <f t="shared" si="2"/>
        <v>483</v>
      </c>
      <c r="U12" s="79">
        <f t="shared" si="2"/>
        <v>483</v>
      </c>
      <c r="V12" s="79">
        <f t="shared" si="2"/>
        <v>483</v>
      </c>
    </row>
    <row r="13" spans="1:22" s="61" customFormat="1" ht="24" customHeight="1" x14ac:dyDescent="0.15">
      <c r="A13" s="61" t="s">
        <v>157</v>
      </c>
      <c r="B13" s="65">
        <f t="shared" ref="B13:K13" si="3">B10+B12</f>
        <v>212.19000000000003</v>
      </c>
      <c r="C13" s="65">
        <f t="shared" si="3"/>
        <v>296.74</v>
      </c>
      <c r="D13" s="65">
        <f t="shared" si="3"/>
        <v>339.33000000000004</v>
      </c>
      <c r="E13" s="65">
        <f t="shared" si="3"/>
        <v>453.73</v>
      </c>
      <c r="F13" s="65">
        <f t="shared" si="3"/>
        <v>857.76</v>
      </c>
      <c r="G13" s="65">
        <f t="shared" si="3"/>
        <v>1096.23</v>
      </c>
      <c r="H13" s="65">
        <f t="shared" si="3"/>
        <v>1172.53</v>
      </c>
      <c r="I13" s="65">
        <f t="shared" si="3"/>
        <v>1927.3700000000001</v>
      </c>
      <c r="J13" s="65">
        <f t="shared" si="3"/>
        <v>1803.5900000000001</v>
      </c>
      <c r="K13" s="65">
        <f t="shared" si="3"/>
        <v>1345.05</v>
      </c>
      <c r="L13" s="82">
        <f>L10+L12</f>
        <v>1373.1136016249998</v>
      </c>
      <c r="M13" s="82">
        <f t="shared" ref="M13:V13" si="4">M10+M12</f>
        <v>1418.315892351</v>
      </c>
      <c r="N13" s="82">
        <f t="shared" si="4"/>
        <v>1458.7806114832379</v>
      </c>
      <c r="O13" s="82">
        <f t="shared" si="4"/>
        <v>1497.7683519580983</v>
      </c>
      <c r="P13" s="82">
        <f t="shared" si="4"/>
        <v>1533.0925667414501</v>
      </c>
      <c r="Q13" s="82">
        <f t="shared" si="4"/>
        <v>1564.2388903036069</v>
      </c>
      <c r="R13" s="82">
        <f t="shared" si="4"/>
        <v>1588.6422708445375</v>
      </c>
      <c r="S13" s="82">
        <f t="shared" si="4"/>
        <v>1621.9623083704432</v>
      </c>
      <c r="T13" s="82">
        <f t="shared" si="4"/>
        <v>1655.0769854086564</v>
      </c>
      <c r="U13" s="82">
        <f t="shared" si="4"/>
        <v>1690.2617916500985</v>
      </c>
      <c r="V13" s="82">
        <f t="shared" si="4"/>
        <v>1726.4796453996016</v>
      </c>
    </row>
    <row r="14" spans="1:22" ht="24" customHeight="1" x14ac:dyDescent="0.15"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</row>
    <row r="15" spans="1:22" ht="24" customHeight="1" x14ac:dyDescent="0.15">
      <c r="A15" t="s">
        <v>158</v>
      </c>
      <c r="B15" s="63">
        <f>'Balance Sheet'!B11+'Balance Sheet'!B35+'Balance Sheet'!B40</f>
        <v>39.4</v>
      </c>
      <c r="C15" s="63">
        <f>'Balance Sheet'!C11+'Balance Sheet'!C35+'Balance Sheet'!C40</f>
        <v>49.8</v>
      </c>
      <c r="D15" s="63">
        <f>'Balance Sheet'!D11+'Balance Sheet'!D35+'Balance Sheet'!D40</f>
        <v>55.6</v>
      </c>
      <c r="E15" s="63">
        <f>'Balance Sheet'!E11+'Balance Sheet'!E35+'Balance Sheet'!E40</f>
        <v>87.5</v>
      </c>
      <c r="F15" s="63">
        <f>'Balance Sheet'!F11+'Balance Sheet'!F35+'Balance Sheet'!F40</f>
        <v>302.90000000000003</v>
      </c>
      <c r="G15" s="63">
        <f>'Balance Sheet'!G11+'Balance Sheet'!G35+'Balance Sheet'!G40</f>
        <v>253.1</v>
      </c>
      <c r="H15" s="63">
        <f>'Balance Sheet'!H11+'Balance Sheet'!H35+'Balance Sheet'!H40</f>
        <v>244.4</v>
      </c>
      <c r="I15" s="63">
        <f>'Balance Sheet'!I11+'Balance Sheet'!I35+'Balance Sheet'!I40</f>
        <v>205.5</v>
      </c>
      <c r="J15" s="63">
        <f>'Balance Sheet'!J11+'Balance Sheet'!J35+'Balance Sheet'!J40</f>
        <v>223.3</v>
      </c>
      <c r="K15" s="63">
        <f>'Balance Sheet'!K11+'Balance Sheet'!K35+'Balance Sheet'!K40</f>
        <v>203.5</v>
      </c>
      <c r="L15" s="79">
        <f>L24*NOPAT!L6</f>
        <v>216.72331169999998</v>
      </c>
      <c r="M15" s="79">
        <f>M24*NOPAT!M6</f>
        <v>229.72671040199998</v>
      </c>
      <c r="N15" s="79">
        <f>N24*NOPAT!N6</f>
        <v>240.03159426860398</v>
      </c>
      <c r="O15" s="79">
        <f>O24*NOPAT!O6</f>
        <v>249.56328366419783</v>
      </c>
      <c r="P15" s="79">
        <f>P24*NOPAT!P6</f>
        <v>260.11467249558854</v>
      </c>
      <c r="Q15" s="79">
        <f>Q24*NOPAT!Q6</f>
        <v>269.80635251523898</v>
      </c>
      <c r="R15" s="79">
        <f>R24*NOPAT!R6</f>
        <v>278.50458716349146</v>
      </c>
      <c r="S15" s="79">
        <f>S24*NOPAT!S6</f>
        <v>286.91416928415748</v>
      </c>
      <c r="T15" s="79">
        <f>T24*NOPAT!T6</f>
        <v>294.70649729085221</v>
      </c>
      <c r="U15" s="79">
        <f>U24*NOPAT!U6</f>
        <v>301.81544791252469</v>
      </c>
      <c r="V15" s="79">
        <f>V24*NOPAT!V6</f>
        <v>310.86991134990041</v>
      </c>
    </row>
    <row r="16" spans="1:22" s="35" customFormat="1" ht="24" customHeight="1" thickBot="1" x14ac:dyDescent="0.2">
      <c r="A16" s="35" t="s">
        <v>159</v>
      </c>
      <c r="B16" s="66">
        <f t="shared" ref="B16:K16" si="5">B13+B15</f>
        <v>251.59000000000003</v>
      </c>
      <c r="C16" s="66">
        <f t="shared" si="5"/>
        <v>346.54</v>
      </c>
      <c r="D16" s="66">
        <f t="shared" si="5"/>
        <v>394.93000000000006</v>
      </c>
      <c r="E16" s="66">
        <f t="shared" si="5"/>
        <v>541.23</v>
      </c>
      <c r="F16" s="66">
        <f t="shared" si="5"/>
        <v>1160.6600000000001</v>
      </c>
      <c r="G16" s="66">
        <f t="shared" si="5"/>
        <v>1349.33</v>
      </c>
      <c r="H16" s="66">
        <f t="shared" si="5"/>
        <v>1416.93</v>
      </c>
      <c r="I16" s="66">
        <f t="shared" si="5"/>
        <v>2132.87</v>
      </c>
      <c r="J16" s="66">
        <f t="shared" si="5"/>
        <v>2026.89</v>
      </c>
      <c r="K16" s="66">
        <f t="shared" si="5"/>
        <v>1548.55</v>
      </c>
      <c r="L16" s="83">
        <f>L13+L15</f>
        <v>1589.8369133249998</v>
      </c>
      <c r="M16" s="83">
        <f t="shared" ref="M16:V16" si="6">M13+M15</f>
        <v>1648.042602753</v>
      </c>
      <c r="N16" s="83">
        <f t="shared" si="6"/>
        <v>1698.8122057518419</v>
      </c>
      <c r="O16" s="83">
        <f t="shared" si="6"/>
        <v>1747.3316356222961</v>
      </c>
      <c r="P16" s="83">
        <f t="shared" si="6"/>
        <v>1793.2072392370387</v>
      </c>
      <c r="Q16" s="83">
        <f t="shared" si="6"/>
        <v>1834.045242818846</v>
      </c>
      <c r="R16" s="83">
        <f t="shared" si="6"/>
        <v>1867.1468580080291</v>
      </c>
      <c r="S16" s="83">
        <f t="shared" si="6"/>
        <v>1908.8764776546006</v>
      </c>
      <c r="T16" s="83">
        <f t="shared" si="6"/>
        <v>1949.7834826995086</v>
      </c>
      <c r="U16" s="83">
        <f t="shared" si="6"/>
        <v>1992.0772395626232</v>
      </c>
      <c r="V16" s="83">
        <f t="shared" si="6"/>
        <v>2037.349556749502</v>
      </c>
    </row>
    <row r="17" spans="1:22" ht="24" customHeight="1" thickTop="1" x14ac:dyDescent="0.15"/>
    <row r="18" spans="1:22" ht="24" customHeight="1" x14ac:dyDescent="0.15">
      <c r="A18" s="75" t="s">
        <v>173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</row>
    <row r="19" spans="1:22" ht="24" customHeight="1" x14ac:dyDescent="0.15">
      <c r="A19" s="27" t="s">
        <v>178</v>
      </c>
      <c r="B19" s="78">
        <f>B6/NOPAT!B6</f>
        <v>0.15924996960878449</v>
      </c>
      <c r="C19" s="78">
        <f>C6/NOPAT!C6</f>
        <v>0.18047528241312105</v>
      </c>
      <c r="D19" s="78">
        <f>D6/NOPAT!D6</f>
        <v>0.18431103395373247</v>
      </c>
      <c r="E19" s="78">
        <f>E6/NOPAT!E6</f>
        <v>0.20296396900215707</v>
      </c>
      <c r="F19" s="78">
        <f>F6/NOPAT!F6</f>
        <v>0.21341771526488013</v>
      </c>
      <c r="G19" s="78">
        <f>G6/NOPAT!G6</f>
        <v>0.26236582647198292</v>
      </c>
      <c r="H19" s="78">
        <f>H6/NOPAT!H6</f>
        <v>0.25200141529656017</v>
      </c>
      <c r="I19" s="78">
        <f>I6/NOPAT!I6</f>
        <v>0.33532125192428786</v>
      </c>
      <c r="J19" s="78">
        <f>J6/NOPAT!J6</f>
        <v>0.31356870296092815</v>
      </c>
      <c r="K19" s="78">
        <f>K6/NOPAT!K6</f>
        <v>0.3206183241431152</v>
      </c>
      <c r="L19" s="70">
        <v>0.315</v>
      </c>
      <c r="M19" s="70">
        <v>0.31</v>
      </c>
      <c r="N19" s="70">
        <v>0.30499999999999999</v>
      </c>
      <c r="O19" s="70">
        <v>0.3</v>
      </c>
      <c r="P19" s="70">
        <v>0.29499999999999998</v>
      </c>
      <c r="Q19" s="70">
        <v>0.28999999999999998</v>
      </c>
      <c r="R19" s="70">
        <v>0.28499999999999998</v>
      </c>
      <c r="S19" s="70">
        <v>0.28199999999999997</v>
      </c>
      <c r="T19" s="70">
        <v>0.28000000000000003</v>
      </c>
      <c r="U19" s="70">
        <v>0.28000000000000003</v>
      </c>
      <c r="V19" s="70">
        <v>0.28000000000000003</v>
      </c>
    </row>
    <row r="20" spans="1:22" ht="24" customHeight="1" x14ac:dyDescent="0.15">
      <c r="A20" s="27" t="s">
        <v>179</v>
      </c>
      <c r="B20" s="78">
        <f>B7/NOPAT!B6</f>
        <v>8.0133572493593028E-2</v>
      </c>
      <c r="C20" s="78">
        <f>C7/NOPAT!C6</f>
        <v>9.1667314925583387E-2</v>
      </c>
      <c r="D20" s="78">
        <f>D7/NOPAT!D6</f>
        <v>0.10464693770438854</v>
      </c>
      <c r="E20" s="78">
        <f>E7/NOPAT!E6</f>
        <v>0.16763867806449895</v>
      </c>
      <c r="F20" s="78">
        <f>F7/NOPAT!F6</f>
        <v>0.21267660355239548</v>
      </c>
      <c r="G20" s="78">
        <f>G7/NOPAT!G6</f>
        <v>0.17766638133302132</v>
      </c>
      <c r="H20" s="78">
        <f>H7/NOPAT!H6</f>
        <v>0.1561943249603274</v>
      </c>
      <c r="I20" s="78">
        <f>I7/NOPAT!I6</f>
        <v>0.21957712791750728</v>
      </c>
      <c r="J20" s="78">
        <f>J7/NOPAT!J6</f>
        <v>0.25137723012997149</v>
      </c>
      <c r="K20" s="78">
        <f>K7/NOPAT!K6</f>
        <v>0.22735311496257468</v>
      </c>
      <c r="L20" s="70">
        <v>0.22500000000000001</v>
      </c>
      <c r="M20" s="70">
        <v>0.223</v>
      </c>
      <c r="N20" s="70">
        <v>0.22</v>
      </c>
      <c r="O20" s="70">
        <v>0.218</v>
      </c>
      <c r="P20" s="70">
        <v>0.215</v>
      </c>
      <c r="Q20" s="70">
        <v>0.21299999999999999</v>
      </c>
      <c r="R20" s="70">
        <v>0.21</v>
      </c>
      <c r="S20" s="70">
        <v>0.21</v>
      </c>
      <c r="T20" s="70">
        <v>0.21</v>
      </c>
      <c r="U20" s="70">
        <v>0.21</v>
      </c>
      <c r="V20" s="70">
        <v>0.21</v>
      </c>
    </row>
    <row r="21" spans="1:22" ht="24" customHeight="1" x14ac:dyDescent="0.15">
      <c r="A21" s="27" t="s">
        <v>180</v>
      </c>
      <c r="B21" s="78">
        <f>B8/NOPAT!B6</f>
        <v>1.7366408899540285E-3</v>
      </c>
      <c r="C21" s="78">
        <f>C8/NOPAT!C6</f>
        <v>1.2614768109025236E-3</v>
      </c>
      <c r="D21" s="78">
        <f>D8/NOPAT!D6</f>
        <v>6.4596875126165772E-4</v>
      </c>
      <c r="E21" s="78">
        <f>E8/NOPAT!E6</f>
        <v>2.3967404330111051E-2</v>
      </c>
      <c r="F21" s="78">
        <f>F8/NOPAT!F6</f>
        <v>3.1553392607298378E-2</v>
      </c>
      <c r="G21" s="78">
        <f>G8/NOPAT!G6</f>
        <v>3.0945357580534905E-2</v>
      </c>
      <c r="H21" s="78">
        <f>H8/NOPAT!H6</f>
        <v>3.3135911527740251E-2</v>
      </c>
      <c r="I21" s="78">
        <f>I8/NOPAT!I6</f>
        <v>6.3107081242854343E-2</v>
      </c>
      <c r="J21" s="78">
        <f>J8/NOPAT!J6</f>
        <v>8.5944612356080433E-2</v>
      </c>
      <c r="K21" s="78">
        <f>K8/NOPAT!K6</f>
        <v>7.9669002215602455E-2</v>
      </c>
      <c r="L21" s="70">
        <v>0.08</v>
      </c>
      <c r="M21" s="70">
        <v>0.08</v>
      </c>
      <c r="N21" s="70">
        <v>7.8E-2</v>
      </c>
      <c r="O21" s="70">
        <v>7.5999999999999998E-2</v>
      </c>
      <c r="P21" s="70">
        <v>7.4999999999999997E-2</v>
      </c>
      <c r="Q21" s="70">
        <v>7.3999999999999996E-2</v>
      </c>
      <c r="R21" s="70">
        <v>7.2999999999999995E-2</v>
      </c>
      <c r="S21" s="70">
        <v>7.1999999999999995E-2</v>
      </c>
      <c r="T21" s="70">
        <v>7.0999999999999994E-2</v>
      </c>
      <c r="U21" s="70">
        <v>7.0000000000000007E-2</v>
      </c>
      <c r="V21" s="70">
        <v>7.0000000000000007E-2</v>
      </c>
    </row>
    <row r="22" spans="1:22" ht="24" customHeight="1" x14ac:dyDescent="0.15">
      <c r="A22" s="38" t="s">
        <v>181</v>
      </c>
      <c r="B22" s="84">
        <f>B9/NOPAT!B6</f>
        <v>-1.4885493342463101E-3</v>
      </c>
      <c r="C22" s="84">
        <f>C9/NOPAT!C6</f>
        <v>-2.4809043947749628E-2</v>
      </c>
      <c r="D22" s="84">
        <f>D9/NOPAT!D6</f>
        <v>-2.0671000040373047E-2</v>
      </c>
      <c r="E22" s="84">
        <f>E9/NOPAT!E6</f>
        <v>-2.4100556576389445E-2</v>
      </c>
      <c r="F22" s="84">
        <f>F9/NOPAT!F6</f>
        <v>-4.8958288885345522E-2</v>
      </c>
      <c r="G22" s="84">
        <f>G9/NOPAT!G6</f>
        <v>-2.7635282018437887E-2</v>
      </c>
      <c r="H22" s="84">
        <f>H9/NOPAT!H6</f>
        <v>-2.3525873156229896E-2</v>
      </c>
      <c r="I22" s="84">
        <f>I9/NOPAT!I6</f>
        <v>-6.6521966591493661E-2</v>
      </c>
      <c r="J22" s="84">
        <f>J9/NOPAT!J6</f>
        <v>-0.13781268809351463</v>
      </c>
      <c r="K22" s="84">
        <f>K9/NOPAT!K6</f>
        <v>-4.0141182467912609E-2</v>
      </c>
      <c r="L22" s="85">
        <v>-4.4999999999999998E-2</v>
      </c>
      <c r="M22" s="85">
        <v>-4.2999999999999997E-2</v>
      </c>
      <c r="N22" s="85">
        <v>-4.2000000000000003E-2</v>
      </c>
      <c r="O22" s="85">
        <v>-4.1000000000000002E-2</v>
      </c>
      <c r="P22" s="85">
        <v>-0.04</v>
      </c>
      <c r="Q22" s="85">
        <v>-0.04</v>
      </c>
      <c r="R22" s="85">
        <v>-0.04</v>
      </c>
      <c r="S22" s="85">
        <v>-0.04</v>
      </c>
      <c r="T22" s="85">
        <v>-0.04</v>
      </c>
      <c r="U22" s="85">
        <v>-0.04</v>
      </c>
      <c r="V22" s="85">
        <v>-0.04</v>
      </c>
    </row>
    <row r="23" spans="1:22" ht="24" customHeight="1" x14ac:dyDescent="0.15">
      <c r="A23" s="27" t="s">
        <v>182</v>
      </c>
      <c r="B23" s="79">
        <f>B12</f>
        <v>115.6</v>
      </c>
      <c r="C23" s="79">
        <f t="shared" ref="C23:K23" si="7">C12</f>
        <v>178.5</v>
      </c>
      <c r="D23" s="79">
        <f t="shared" si="7"/>
        <v>172.8</v>
      </c>
      <c r="E23" s="79">
        <f t="shared" si="7"/>
        <v>175.5</v>
      </c>
      <c r="F23" s="79">
        <f t="shared" si="7"/>
        <v>493.8</v>
      </c>
      <c r="G23" s="79">
        <f t="shared" si="7"/>
        <v>520.29999999999995</v>
      </c>
      <c r="H23" s="79">
        <f t="shared" si="7"/>
        <v>503</v>
      </c>
      <c r="I23" s="79">
        <f t="shared" si="7"/>
        <v>1119.9000000000001</v>
      </c>
      <c r="J23" s="79">
        <f t="shared" si="7"/>
        <v>1088.4000000000001</v>
      </c>
      <c r="K23" s="79">
        <f t="shared" si="7"/>
        <v>483</v>
      </c>
      <c r="L23" s="80">
        <v>483</v>
      </c>
      <c r="M23" s="80">
        <v>483</v>
      </c>
      <c r="N23" s="80">
        <v>483</v>
      </c>
      <c r="O23" s="80">
        <v>483</v>
      </c>
      <c r="P23" s="80">
        <v>483</v>
      </c>
      <c r="Q23" s="80">
        <v>483</v>
      </c>
      <c r="R23" s="80">
        <v>483</v>
      </c>
      <c r="S23" s="80">
        <v>483</v>
      </c>
      <c r="T23" s="80">
        <v>483</v>
      </c>
      <c r="U23" s="80">
        <v>483</v>
      </c>
      <c r="V23" s="80">
        <v>483</v>
      </c>
    </row>
    <row r="24" spans="1:22" ht="24" customHeight="1" thickBot="1" x14ac:dyDescent="0.2">
      <c r="A24" s="86" t="s">
        <v>183</v>
      </c>
      <c r="B24" s="87">
        <f>B15/NOPAT!B6</f>
        <v>9.7748072948841039E-2</v>
      </c>
      <c r="C24" s="87">
        <f>C15/NOPAT!C6</f>
        <v>0.10470257530490945</v>
      </c>
      <c r="D24" s="87">
        <f>D15/NOPAT!D6</f>
        <v>8.9789656425370415E-2</v>
      </c>
      <c r="E24" s="87">
        <f>E15/NOPAT!E6</f>
        <v>0.11650821549359539</v>
      </c>
      <c r="F24" s="87">
        <f>F15/NOPAT!F6</f>
        <v>0.34012536016906336</v>
      </c>
      <c r="G24" s="87">
        <f>G15/NOPAT!G6</f>
        <v>0.19483258715505933</v>
      </c>
      <c r="H24" s="87">
        <f>H15/NOPAT!H6</f>
        <v>0.1525125570128007</v>
      </c>
      <c r="I24" s="87">
        <f>I15/NOPAT!I6</f>
        <v>0.14035178782907543</v>
      </c>
      <c r="J24" s="87">
        <f>J15/NOPAT!J6</f>
        <v>0.16019559214618331</v>
      </c>
      <c r="K24" s="87">
        <f>K15/NOPAT!K6</f>
        <v>0.13868812618370488</v>
      </c>
      <c r="L24" s="88">
        <v>0.14000000000000001</v>
      </c>
      <c r="M24" s="88">
        <v>0.14000000000000001</v>
      </c>
      <c r="N24" s="88">
        <v>0.13800000000000001</v>
      </c>
      <c r="O24" s="88">
        <v>0.13600000000000001</v>
      </c>
      <c r="P24" s="88">
        <v>0.13500000000000001</v>
      </c>
      <c r="Q24" s="88">
        <v>0.13400000000000001</v>
      </c>
      <c r="R24" s="88">
        <v>0.13300000000000001</v>
      </c>
      <c r="S24" s="88">
        <v>0.13200000000000001</v>
      </c>
      <c r="T24" s="88">
        <v>0.13100000000000001</v>
      </c>
      <c r="U24" s="88">
        <v>0.13</v>
      </c>
      <c r="V24" s="88">
        <v>0.13</v>
      </c>
    </row>
    <row r="25" spans="1:22" ht="24" customHeight="1" thickTop="1" x14ac:dyDescent="0.1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8DC5-A9D8-EC4E-9CBC-F350EF382DC3}">
  <dimension ref="A1:V18"/>
  <sheetViews>
    <sheetView zoomScale="107" workbookViewId="0">
      <selection activeCell="L6" sqref="L6"/>
    </sheetView>
  </sheetViews>
  <sheetFormatPr baseColWidth="10" defaultRowHeight="24" customHeight="1" x14ac:dyDescent="0.15"/>
  <cols>
    <col min="1" max="1" width="29.5" bestFit="1" customWidth="1"/>
  </cols>
  <sheetData>
    <row r="1" spans="1:22" ht="24" customHeight="1" x14ac:dyDescent="0.2">
      <c r="A1" s="30" t="s">
        <v>164</v>
      </c>
    </row>
    <row r="5" spans="1:22" ht="24" customHeight="1" x14ac:dyDescent="0.15">
      <c r="A5" s="37"/>
      <c r="B5" s="37" t="s">
        <v>88</v>
      </c>
      <c r="C5" s="37" t="s">
        <v>80</v>
      </c>
      <c r="D5" s="37" t="s">
        <v>81</v>
      </c>
      <c r="E5" s="37" t="s">
        <v>82</v>
      </c>
      <c r="F5" s="37" t="s">
        <v>83</v>
      </c>
      <c r="G5" s="37" t="s">
        <v>84</v>
      </c>
      <c r="H5" s="37" t="s">
        <v>85</v>
      </c>
      <c r="I5" s="37" t="s">
        <v>86</v>
      </c>
      <c r="J5" s="37" t="s">
        <v>87</v>
      </c>
      <c r="K5" s="37" t="s">
        <v>79</v>
      </c>
      <c r="L5" s="37" t="s">
        <v>67</v>
      </c>
      <c r="M5" s="37" t="s">
        <v>68</v>
      </c>
      <c r="N5" s="37" t="s">
        <v>69</v>
      </c>
      <c r="O5" s="37" t="s">
        <v>70</v>
      </c>
      <c r="P5" s="37" t="s">
        <v>71</v>
      </c>
      <c r="Q5" s="37" t="s">
        <v>72</v>
      </c>
      <c r="R5" s="37" t="s">
        <v>73</v>
      </c>
      <c r="S5" s="37" t="s">
        <v>74</v>
      </c>
      <c r="T5" s="37" t="s">
        <v>75</v>
      </c>
      <c r="U5" s="37" t="s">
        <v>76</v>
      </c>
      <c r="V5" s="37" t="s">
        <v>77</v>
      </c>
    </row>
    <row r="6" spans="1:22" ht="24" customHeight="1" x14ac:dyDescent="0.15">
      <c r="A6" t="s">
        <v>66</v>
      </c>
      <c r="B6" s="63">
        <f>NOPAT!B12</f>
        <v>51.308581457414746</v>
      </c>
      <c r="C6" s="63">
        <f>NOPAT!C12</f>
        <v>52.209678252123361</v>
      </c>
      <c r="D6" s="63">
        <f>NOPAT!D12</f>
        <v>101.28989612262284</v>
      </c>
      <c r="E6" s="63">
        <f>NOPAT!E12</f>
        <v>107.21577973454676</v>
      </c>
      <c r="F6" s="63">
        <f>NOPAT!F12</f>
        <v>130.95374481966897</v>
      </c>
      <c r="G6" s="63">
        <f>NOPAT!G12</f>
        <v>201.0555694894922</v>
      </c>
      <c r="H6" s="63">
        <f>NOPAT!H12</f>
        <v>245.54696034462111</v>
      </c>
      <c r="I6" s="63">
        <f>NOPAT!I12</f>
        <v>181.88820687566277</v>
      </c>
      <c r="J6" s="63">
        <f>NOPAT!J12</f>
        <v>126.99899999999994</v>
      </c>
      <c r="K6" s="63">
        <f>NOPAT!K12</f>
        <v>117.27599999999981</v>
      </c>
      <c r="L6" s="79">
        <f>NOPAT!L12</f>
        <v>123.12051337676989</v>
      </c>
      <c r="M6" s="79">
        <f>NOPAT!M12</f>
        <v>146.28340556369636</v>
      </c>
      <c r="N6" s="79">
        <f>NOPAT!N12</f>
        <v>173.30281106193206</v>
      </c>
      <c r="O6" s="79">
        <f>NOPAT!O12</f>
        <v>200.47638779642369</v>
      </c>
      <c r="P6" s="79">
        <f>NOPAT!P12</f>
        <v>220.6042171311847</v>
      </c>
      <c r="Q6" s="79">
        <f>NOPAT!Q12</f>
        <v>241.09009729454991</v>
      </c>
      <c r="R6" s="79">
        <f>NOPAT!R12</f>
        <v>258.05439319177219</v>
      </c>
      <c r="S6" s="79">
        <f>NOPAT!S12</f>
        <v>273.5596188592948</v>
      </c>
      <c r="T6" s="79">
        <f>NOPAT!T12</f>
        <v>289.03283480102374</v>
      </c>
      <c r="U6" s="79">
        <f>NOPAT!U12</f>
        <v>304.36927093332298</v>
      </c>
      <c r="V6" s="79">
        <f>NOPAT!V12</f>
        <v>313.50034906132277</v>
      </c>
    </row>
    <row r="7" spans="1:22" ht="24" customHeight="1" x14ac:dyDescent="0.15">
      <c r="A7" t="s">
        <v>18</v>
      </c>
      <c r="B7" s="63">
        <f>NOPAT!B8</f>
        <v>5.766</v>
      </c>
      <c r="C7" s="63">
        <f>NOPAT!C8</f>
        <v>7.2939999999999996</v>
      </c>
      <c r="D7" s="63">
        <f>NOPAT!D8</f>
        <v>8.1430000000000007</v>
      </c>
      <c r="E7" s="63">
        <f>NOPAT!E8</f>
        <v>11.260999999999999</v>
      </c>
      <c r="F7" s="63">
        <f>NOPAT!F8</f>
        <v>16.344000000000001</v>
      </c>
      <c r="G7" s="63">
        <f>NOPAT!G8</f>
        <v>24.425999999999998</v>
      </c>
      <c r="H7" s="63">
        <f>NOPAT!H8</f>
        <v>27.704999999999998</v>
      </c>
      <c r="I7" s="63">
        <f>NOPAT!I8</f>
        <v>32.094000000000001</v>
      </c>
      <c r="J7" s="63">
        <f>NOPAT!J8</f>
        <v>39.378999999999998</v>
      </c>
      <c r="K7" s="63">
        <f>NOPAT!K8</f>
        <v>50.28</v>
      </c>
      <c r="L7" s="79">
        <f>NOPAT!L8</f>
        <v>52.632804269999994</v>
      </c>
      <c r="M7" s="79">
        <f>NOPAT!M8</f>
        <v>54.149867451899993</v>
      </c>
      <c r="N7" s="79">
        <f>NOPAT!N8</f>
        <v>53.920140741497995</v>
      </c>
      <c r="O7" s="79">
        <f>NOPAT!O8</f>
        <v>55.050724337690689</v>
      </c>
      <c r="P7" s="79">
        <f>NOPAT!P8</f>
        <v>55.876485202756058</v>
      </c>
      <c r="Q7" s="79">
        <f>NOPAT!Q8</f>
        <v>56.377446794229037</v>
      </c>
      <c r="R7" s="79">
        <f>NOPAT!R8</f>
        <v>56.538525213641122</v>
      </c>
      <c r="S7" s="79">
        <f>NOPAT!S8</f>
        <v>56.513396980212832</v>
      </c>
      <c r="T7" s="79">
        <f>NOPAT!T8</f>
        <v>56.241697956269505</v>
      </c>
      <c r="U7" s="79">
        <f>NOPAT!U8</f>
        <v>58.041432290870127</v>
      </c>
      <c r="V7" s="79">
        <f>NOPAT!V8</f>
        <v>59.782675259596232</v>
      </c>
    </row>
    <row r="8" spans="1:22" ht="24" customHeight="1" x14ac:dyDescent="0.15">
      <c r="A8" s="62" t="s">
        <v>165</v>
      </c>
      <c r="B8" s="64">
        <f t="shared" ref="B8:K8" si="0">B6+B7</f>
        <v>57.074581457414745</v>
      </c>
      <c r="C8" s="64">
        <f t="shared" si="0"/>
        <v>59.503678252123358</v>
      </c>
      <c r="D8" s="64">
        <f t="shared" si="0"/>
        <v>109.43289612262284</v>
      </c>
      <c r="E8" s="64">
        <f t="shared" si="0"/>
        <v>118.47677973454675</v>
      </c>
      <c r="F8" s="64">
        <f t="shared" si="0"/>
        <v>147.29774481966896</v>
      </c>
      <c r="G8" s="64">
        <f t="shared" si="0"/>
        <v>225.48156948949219</v>
      </c>
      <c r="H8" s="64">
        <f t="shared" si="0"/>
        <v>273.25196034462112</v>
      </c>
      <c r="I8" s="64">
        <f t="shared" si="0"/>
        <v>213.98220687566277</v>
      </c>
      <c r="J8" s="64">
        <f t="shared" si="0"/>
        <v>166.37799999999993</v>
      </c>
      <c r="K8" s="64">
        <f t="shared" si="0"/>
        <v>167.55599999999981</v>
      </c>
      <c r="L8" s="81">
        <f>L6+L7</f>
        <v>175.75331764676989</v>
      </c>
      <c r="M8" s="81">
        <f t="shared" ref="M8:V8" si="1">M6+M7</f>
        <v>200.43327301559634</v>
      </c>
      <c r="N8" s="81">
        <f t="shared" si="1"/>
        <v>227.22295180343005</v>
      </c>
      <c r="O8" s="81">
        <f t="shared" si="1"/>
        <v>255.52711213411439</v>
      </c>
      <c r="P8" s="81">
        <f t="shared" si="1"/>
        <v>276.48070233394077</v>
      </c>
      <c r="Q8" s="81">
        <f t="shared" si="1"/>
        <v>297.46754408877894</v>
      </c>
      <c r="R8" s="81">
        <f t="shared" si="1"/>
        <v>314.59291840541334</v>
      </c>
      <c r="S8" s="81">
        <f t="shared" si="1"/>
        <v>330.07301583950766</v>
      </c>
      <c r="T8" s="81">
        <f t="shared" si="1"/>
        <v>345.27453275729323</v>
      </c>
      <c r="U8" s="81">
        <f t="shared" si="1"/>
        <v>362.41070322419313</v>
      </c>
      <c r="V8" s="81">
        <f t="shared" si="1"/>
        <v>373.28302432091903</v>
      </c>
    </row>
    <row r="9" spans="1:22" ht="24" customHeight="1" x14ac:dyDescent="0.15">
      <c r="B9" s="63"/>
      <c r="C9" s="63"/>
      <c r="D9" s="63"/>
      <c r="E9" s="63"/>
      <c r="F9" s="63"/>
      <c r="G9" s="63"/>
      <c r="H9" s="63"/>
      <c r="I9" s="63"/>
      <c r="J9" s="63"/>
      <c r="K9" s="63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</row>
    <row r="10" spans="1:22" ht="24" customHeight="1" x14ac:dyDescent="0.15">
      <c r="A10" t="s">
        <v>166</v>
      </c>
      <c r="B10" s="63"/>
      <c r="C10" s="63">
        <f>'Invested Capital'!C6-'Invested Capital'!B6</f>
        <v>21.649999999999977</v>
      </c>
      <c r="D10" s="63">
        <f>'Invested Capital'!D6-'Invested Capital'!C6</f>
        <v>28.289999999999992</v>
      </c>
      <c r="E10" s="63">
        <f>'Invested Capital'!E6-'Invested Capital'!D6</f>
        <v>38.300000000000011</v>
      </c>
      <c r="F10" s="63">
        <f>'Invested Capital'!F6-'Invested Capital'!E6</f>
        <v>37.630000000000052</v>
      </c>
      <c r="G10" s="63">
        <f>'Invested Capital'!G6-'Invested Capital'!F6</f>
        <v>150.76999999999998</v>
      </c>
      <c r="H10" s="63">
        <f>'Invested Capital'!H6-'Invested Capital'!G6</f>
        <v>62.999999999999943</v>
      </c>
      <c r="I10" s="63">
        <f>'Invested Capital'!I6-'Invested Capital'!H6</f>
        <v>87.139999999999986</v>
      </c>
      <c r="J10" s="63">
        <f>'Invested Capital'!J6-'Invested Capital'!I6</f>
        <v>-53.879999999999995</v>
      </c>
      <c r="K10" s="63">
        <f>'Invested Capital'!K6-'Invested Capital'!J6</f>
        <v>33.359999999999957</v>
      </c>
      <c r="L10" s="79">
        <f>'Invested Capital'!L6-'Invested Capital'!K6</f>
        <v>17.177451324999993</v>
      </c>
      <c r="M10" s="79">
        <f>'Invested Capital'!M6-'Invested Capital'!L6</f>
        <v>21.053121707999992</v>
      </c>
      <c r="N10" s="79">
        <f>'Invested Capital'!N6-'Invested Capital'!M6</f>
        <v>21.824037488190072</v>
      </c>
      <c r="O10" s="79">
        <f>'Invested Capital'!O6-'Invested Capital'!N6</f>
        <v>20.002632855716911</v>
      </c>
      <c r="P10" s="79">
        <f>'Invested Capital'!P6-'Invested Capital'!O6</f>
        <v>17.891485409749521</v>
      </c>
      <c r="Q10" s="79">
        <f>'Invested Capital'!Q6-'Invested Capital'!P6</f>
        <v>15.510541582144242</v>
      </c>
      <c r="R10" s="79">
        <f>'Invested Capital'!R6-'Invested Capital'!Q6</f>
        <v>12.886273552966713</v>
      </c>
      <c r="S10" s="79">
        <f>'Invested Capital'!S6-'Invested Capital'!R6</f>
        <v>16.157454094387163</v>
      </c>
      <c r="T10" s="79">
        <f>'Invested Capital'!T6-'Invested Capital'!S6</f>
        <v>16.954019094063938</v>
      </c>
      <c r="U10" s="79">
        <f>'Invested Capital'!U6-'Invested Capital'!T6</f>
        <v>20.157024547527044</v>
      </c>
      <c r="V10" s="79">
        <f>'Invested Capital'!V6-'Invested Capital'!U6</f>
        <v>19.501921249732277</v>
      </c>
    </row>
    <row r="11" spans="1:22" ht="24" customHeight="1" x14ac:dyDescent="0.15">
      <c r="A11" t="s">
        <v>167</v>
      </c>
      <c r="B11" s="63"/>
      <c r="C11" s="63">
        <f>'Invested Capital'!C7-'Invested Capital'!B7</f>
        <v>11.300000000000004</v>
      </c>
      <c r="D11" s="63">
        <f>'Invested Capital'!D7-'Invested Capital'!C7</f>
        <v>21.199999999999996</v>
      </c>
      <c r="E11" s="63">
        <f>'Invested Capital'!E7-'Invested Capital'!D7</f>
        <v>61.100000000000009</v>
      </c>
      <c r="F11" s="63">
        <f>'Invested Capital'!F7-'Invested Capital'!E7</f>
        <v>63.5</v>
      </c>
      <c r="G11" s="63">
        <f>'Invested Capital'!G7-'Invested Capital'!F7</f>
        <v>41.400000000000006</v>
      </c>
      <c r="H11" s="63">
        <f>'Invested Capital'!H7-'Invested Capital'!G7</f>
        <v>19.5</v>
      </c>
      <c r="I11" s="63">
        <f>'Invested Capital'!I7-'Invested Capital'!H7</f>
        <v>71.199999999999989</v>
      </c>
      <c r="J11" s="63">
        <f>'Invested Capital'!J7-'Invested Capital'!I7</f>
        <v>28.899999999999977</v>
      </c>
      <c r="K11" s="63">
        <f>'Invested Capital'!K7-'Invested Capital'!J7</f>
        <v>-16.799999999999955</v>
      </c>
      <c r="L11" s="79">
        <f>'Invested Capital'!L7-'Invested Capital'!K7</f>
        <v>14.705322374999923</v>
      </c>
      <c r="M11" s="79">
        <f>'Invested Capital'!M7-'Invested Capital'!L7</f>
        <v>17.616509193900015</v>
      </c>
      <c r="N11" s="79">
        <f>'Invested Capital'!N7-'Invested Capital'!M7</f>
        <v>16.737231757860002</v>
      </c>
      <c r="O11" s="79">
        <f>'Invested Capital'!O7-'Invested Capital'!N7</f>
        <v>17.376200193792386</v>
      </c>
      <c r="P11" s="79">
        <f>'Invested Capital'!P7-'Invested Capital'!O7</f>
        <v>14.221437120570158</v>
      </c>
      <c r="Q11" s="79">
        <f>'Invested Capital'!Q7-'Invested Capital'!P7</f>
        <v>14.614591043548387</v>
      </c>
      <c r="R11" s="79">
        <f>'Invested Capital'!R7-'Invested Capital'!Q7</f>
        <v>10.872793310315558</v>
      </c>
      <c r="S11" s="79">
        <f>'Invested Capital'!S7-'Invested Capital'!R7</f>
        <v>16.710275229809497</v>
      </c>
      <c r="T11" s="79">
        <f>'Invested Capital'!T7-'Invested Capital'!S7</f>
        <v>15.975902607867852</v>
      </c>
      <c r="U11" s="79">
        <f>'Invested Capital'!U7-'Invested Capital'!T7</f>
        <v>15.117768410645226</v>
      </c>
      <c r="V11" s="79">
        <f>'Invested Capital'!V7-'Invested Capital'!U7</f>
        <v>14.626440937299265</v>
      </c>
    </row>
    <row r="12" spans="1:22" ht="24" customHeight="1" x14ac:dyDescent="0.15">
      <c r="A12" t="s">
        <v>168</v>
      </c>
      <c r="B12" s="63"/>
      <c r="C12" s="63">
        <f>'Invested Capital'!C8-'Invested Capital'!B8</f>
        <v>-9.9999999999999978E-2</v>
      </c>
      <c r="D12" s="63">
        <f>'Invested Capital'!D8-'Invested Capital'!C8</f>
        <v>-0.19999999999999996</v>
      </c>
      <c r="E12" s="63">
        <f>'Invested Capital'!E8-'Invested Capital'!D8</f>
        <v>17.600000000000001</v>
      </c>
      <c r="F12" s="63">
        <f>'Invested Capital'!F8-'Invested Capital'!E8</f>
        <v>10.100000000000001</v>
      </c>
      <c r="G12" s="63">
        <f>'Invested Capital'!G8-'Invested Capital'!F8</f>
        <v>12.099999999999994</v>
      </c>
      <c r="H12" s="63">
        <f>'Invested Capital'!H8-'Invested Capital'!G8</f>
        <v>12.900000000000006</v>
      </c>
      <c r="I12" s="63">
        <f>'Invested Capital'!I8-'Invested Capital'!H8</f>
        <v>39.29999999999999</v>
      </c>
      <c r="J12" s="63">
        <f>'Invested Capital'!J8-'Invested Capital'!I8</f>
        <v>27.400000000000006</v>
      </c>
      <c r="K12" s="63">
        <f>'Invested Capital'!K8-'Invested Capital'!J8</f>
        <v>-2.8999999999999915</v>
      </c>
      <c r="L12" s="79">
        <f>'Invested Capital'!L8-'Invested Capital'!K8</f>
        <v>6.941892399999972</v>
      </c>
      <c r="M12" s="79">
        <f>'Invested Capital'!M8-'Invested Capital'!L8</f>
        <v>7.4305135440000072</v>
      </c>
      <c r="N12" s="79">
        <f>'Invested Capital'!N8-'Invested Capital'!M8</f>
        <v>4.3976255991240123</v>
      </c>
      <c r="O12" s="79">
        <f>'Invested Capital'!O8-'Invested Capital'!N8</f>
        <v>3.791803445692409</v>
      </c>
      <c r="P12" s="79">
        <f>'Invested Capital'!P8-'Invested Capital'!O8</f>
        <v>5.0463163976216663</v>
      </c>
      <c r="Q12" s="79">
        <f>'Invested Capital'!Q8-'Invested Capital'!P8</f>
        <v>4.4893865697386559</v>
      </c>
      <c r="R12" s="79">
        <f>'Invested Capital'!R8-'Invested Capital'!Q8</f>
        <v>3.8658820658899913</v>
      </c>
      <c r="S12" s="79">
        <f>'Invested Capital'!S8-'Invested Capital'!R8</f>
        <v>3.6352177692918701</v>
      </c>
      <c r="T12" s="79">
        <f>'Invested Capital'!T8-'Invested Capital'!S8</f>
        <v>3.227784404446794</v>
      </c>
      <c r="U12" s="79">
        <f>'Invested Capital'!U8-'Invested Capital'!T8</f>
        <v>2.7895882186309962</v>
      </c>
      <c r="V12" s="79">
        <f>'Invested Capital'!V8-'Invested Capital'!U8</f>
        <v>4.8754803124330692</v>
      </c>
    </row>
    <row r="13" spans="1:22" ht="24" customHeight="1" x14ac:dyDescent="0.15">
      <c r="A13" t="s">
        <v>169</v>
      </c>
      <c r="B13" s="63"/>
      <c r="C13" s="63">
        <f>'Invested Capital'!C9-'Invested Capital'!B9</f>
        <v>-11.2</v>
      </c>
      <c r="D13" s="63">
        <f>'Invested Capital'!D9-'Invested Capital'!C9</f>
        <v>-1.0000000000000018</v>
      </c>
      <c r="E13" s="63">
        <f>'Invested Capital'!E9-'Invested Capital'!D9</f>
        <v>-5.3000000000000007</v>
      </c>
      <c r="F13" s="63">
        <f>'Invested Capital'!F9-'Invested Capital'!E9</f>
        <v>-25.499999999999993</v>
      </c>
      <c r="G13" s="63">
        <f>'Invested Capital'!G9-'Invested Capital'!F9</f>
        <v>7.6999999999999957</v>
      </c>
      <c r="H13" s="63">
        <f>'Invested Capital'!H9-'Invested Capital'!G9</f>
        <v>-1.8000000000000043</v>
      </c>
      <c r="I13" s="63">
        <f>'Invested Capital'!I9-'Invested Capital'!H9</f>
        <v>-59.7</v>
      </c>
      <c r="J13" s="63">
        <f>'Invested Capital'!J9-'Invested Capital'!I9</f>
        <v>-94.699999999999989</v>
      </c>
      <c r="K13" s="63">
        <f>'Invested Capital'!K9-'Invested Capital'!J9</f>
        <v>133.19999999999999</v>
      </c>
      <c r="L13" s="79">
        <f>'Invested Capital'!L9-'Invested Capital'!K9</f>
        <v>-10.761064474999991</v>
      </c>
      <c r="M13" s="79">
        <f>'Invested Capital'!M9-'Invested Capital'!L9</f>
        <v>-0.89785371989999874</v>
      </c>
      <c r="N13" s="79">
        <f>'Invested Capital'!N9-'Invested Capital'!M9</f>
        <v>-2.4941757129360127</v>
      </c>
      <c r="O13" s="79">
        <f>'Invested Capital'!O9-'Invested Capital'!N9</f>
        <v>-2.1828960203412748</v>
      </c>
      <c r="P13" s="79">
        <f>'Invested Capital'!P9-'Invested Capital'!O9</f>
        <v>-1.8350241445896955</v>
      </c>
      <c r="Q13" s="79">
        <f>'Invested Capital'!Q9-'Invested Capital'!P9</f>
        <v>-3.4681956332745187</v>
      </c>
      <c r="R13" s="79">
        <f>'Invested Capital'!R9-'Invested Capital'!Q9</f>
        <v>-3.2215683882416499</v>
      </c>
      <c r="S13" s="79">
        <f>'Invested Capital'!S9-'Invested Capital'!R9</f>
        <v>-3.1829095675827546</v>
      </c>
      <c r="T13" s="79">
        <f>'Invested Capital'!T9-'Invested Capital'!S9</f>
        <v>-3.0430290681653105</v>
      </c>
      <c r="U13" s="79">
        <f>'Invested Capital'!U9-'Invested Capital'!T9</f>
        <v>-2.8795749353609921</v>
      </c>
      <c r="V13" s="79">
        <f>'Invested Capital'!V9-'Invested Capital'!U9</f>
        <v>-2.7859887499617741</v>
      </c>
    </row>
    <row r="14" spans="1:22" ht="24" customHeight="1" x14ac:dyDescent="0.15">
      <c r="A14" s="61" t="s">
        <v>170</v>
      </c>
      <c r="B14" s="65"/>
      <c r="C14" s="65">
        <f t="shared" ref="C14:K14" si="2">SUM(C10:C13)</f>
        <v>21.649999999999981</v>
      </c>
      <c r="D14" s="65">
        <f t="shared" si="2"/>
        <v>48.289999999999985</v>
      </c>
      <c r="E14" s="65">
        <f t="shared" si="2"/>
        <v>111.70000000000003</v>
      </c>
      <c r="F14" s="65">
        <f t="shared" si="2"/>
        <v>85.730000000000047</v>
      </c>
      <c r="G14" s="65">
        <f t="shared" si="2"/>
        <v>211.96999999999997</v>
      </c>
      <c r="H14" s="65">
        <f t="shared" si="2"/>
        <v>93.599999999999937</v>
      </c>
      <c r="I14" s="65">
        <f t="shared" si="2"/>
        <v>137.93999999999994</v>
      </c>
      <c r="J14" s="65">
        <f t="shared" si="2"/>
        <v>-92.28</v>
      </c>
      <c r="K14" s="65">
        <f t="shared" si="2"/>
        <v>146.86000000000001</v>
      </c>
      <c r="L14" s="82">
        <f>SUM(L10:L13)</f>
        <v>28.063601624999897</v>
      </c>
      <c r="M14" s="82">
        <f t="shared" ref="M14:V14" si="3">SUM(M10:M13)</f>
        <v>45.202290726000015</v>
      </c>
      <c r="N14" s="82">
        <f t="shared" si="3"/>
        <v>40.464719132238073</v>
      </c>
      <c r="O14" s="82">
        <f t="shared" si="3"/>
        <v>38.987740474860431</v>
      </c>
      <c r="P14" s="82">
        <f t="shared" si="3"/>
        <v>35.32421478335165</v>
      </c>
      <c r="Q14" s="82">
        <f t="shared" si="3"/>
        <v>31.146323562156766</v>
      </c>
      <c r="R14" s="82">
        <f t="shared" si="3"/>
        <v>24.403380540930613</v>
      </c>
      <c r="S14" s="82">
        <f t="shared" si="3"/>
        <v>33.320037525905775</v>
      </c>
      <c r="T14" s="82">
        <f t="shared" si="3"/>
        <v>33.114677038213273</v>
      </c>
      <c r="U14" s="82">
        <f t="shared" si="3"/>
        <v>35.184806241442274</v>
      </c>
      <c r="V14" s="82">
        <f t="shared" si="3"/>
        <v>36.217853749502837</v>
      </c>
    </row>
    <row r="15" spans="1:22" ht="24" customHeight="1" x14ac:dyDescent="0.15">
      <c r="A15" s="62" t="s">
        <v>171</v>
      </c>
      <c r="B15" s="64"/>
      <c r="C15" s="64">
        <f t="shared" ref="C15:K15" si="4">C14+C7</f>
        <v>28.943999999999981</v>
      </c>
      <c r="D15" s="64">
        <f t="shared" si="4"/>
        <v>56.432999999999986</v>
      </c>
      <c r="E15" s="64">
        <f t="shared" si="4"/>
        <v>122.96100000000003</v>
      </c>
      <c r="F15" s="64">
        <f t="shared" si="4"/>
        <v>102.07400000000004</v>
      </c>
      <c r="G15" s="64">
        <f t="shared" si="4"/>
        <v>236.39599999999996</v>
      </c>
      <c r="H15" s="64">
        <f t="shared" si="4"/>
        <v>121.30499999999994</v>
      </c>
      <c r="I15" s="64">
        <f t="shared" si="4"/>
        <v>170.03399999999993</v>
      </c>
      <c r="J15" s="64">
        <f t="shared" si="4"/>
        <v>-52.901000000000003</v>
      </c>
      <c r="K15" s="64">
        <f t="shared" si="4"/>
        <v>197.14000000000001</v>
      </c>
      <c r="L15" s="81">
        <f>L14+L7</f>
        <v>80.696405894999884</v>
      </c>
      <c r="M15" s="81">
        <f t="shared" ref="M15:V15" si="5">M14+M7</f>
        <v>99.352158177900009</v>
      </c>
      <c r="N15" s="81">
        <f t="shared" si="5"/>
        <v>94.384859873736076</v>
      </c>
      <c r="O15" s="81">
        <f t="shared" si="5"/>
        <v>94.038464812551126</v>
      </c>
      <c r="P15" s="81">
        <f t="shared" si="5"/>
        <v>91.200699986107708</v>
      </c>
      <c r="Q15" s="81">
        <f t="shared" si="5"/>
        <v>87.523770356385796</v>
      </c>
      <c r="R15" s="81">
        <f t="shared" si="5"/>
        <v>80.941905754571735</v>
      </c>
      <c r="S15" s="81">
        <f t="shared" si="5"/>
        <v>89.833434506118607</v>
      </c>
      <c r="T15" s="81">
        <f t="shared" si="5"/>
        <v>89.356374994482778</v>
      </c>
      <c r="U15" s="81">
        <f t="shared" si="5"/>
        <v>93.226238532312408</v>
      </c>
      <c r="V15" s="81">
        <f t="shared" si="5"/>
        <v>96.000529009099068</v>
      </c>
    </row>
    <row r="16" spans="1:22" ht="24" customHeight="1" x14ac:dyDescent="0.15"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</row>
    <row r="17" spans="1:22" ht="24" customHeight="1" thickBot="1" x14ac:dyDescent="0.2">
      <c r="A17" s="35" t="s">
        <v>172</v>
      </c>
      <c r="B17" s="66"/>
      <c r="C17" s="66">
        <f t="shared" ref="C17:K17" si="6">C8-C15</f>
        <v>30.559678252123376</v>
      </c>
      <c r="D17" s="66">
        <f t="shared" si="6"/>
        <v>52.99989612262285</v>
      </c>
      <c r="E17" s="66">
        <f t="shared" si="6"/>
        <v>-4.4842202654532741</v>
      </c>
      <c r="F17" s="66">
        <f t="shared" si="6"/>
        <v>45.223744819668923</v>
      </c>
      <c r="G17" s="66">
        <f t="shared" si="6"/>
        <v>-10.914430510507771</v>
      </c>
      <c r="H17" s="66">
        <f t="shared" si="6"/>
        <v>151.94696034462117</v>
      </c>
      <c r="I17" s="66">
        <f t="shared" si="6"/>
        <v>43.948206875662834</v>
      </c>
      <c r="J17" s="66">
        <f t="shared" si="6"/>
        <v>219.27899999999994</v>
      </c>
      <c r="K17" s="66">
        <f t="shared" si="6"/>
        <v>-29.584000000000202</v>
      </c>
      <c r="L17" s="83">
        <f>L8-L15</f>
        <v>95.056911751770002</v>
      </c>
      <c r="M17" s="83">
        <f t="shared" ref="M17:V17" si="7">M8-M15</f>
        <v>101.08111483769633</v>
      </c>
      <c r="N17" s="83">
        <f t="shared" si="7"/>
        <v>132.83809192969397</v>
      </c>
      <c r="O17" s="83">
        <f t="shared" si="7"/>
        <v>161.48864732156326</v>
      </c>
      <c r="P17" s="83">
        <f t="shared" si="7"/>
        <v>185.28000234783306</v>
      </c>
      <c r="Q17" s="83">
        <f t="shared" si="7"/>
        <v>209.94377373239314</v>
      </c>
      <c r="R17" s="83">
        <f t="shared" si="7"/>
        <v>233.65101265084161</v>
      </c>
      <c r="S17" s="83">
        <f t="shared" si="7"/>
        <v>240.23958133338905</v>
      </c>
      <c r="T17" s="83">
        <f t="shared" si="7"/>
        <v>255.91815776281044</v>
      </c>
      <c r="U17" s="83">
        <f t="shared" si="7"/>
        <v>269.18446469188075</v>
      </c>
      <c r="V17" s="83">
        <f t="shared" si="7"/>
        <v>277.28249531181996</v>
      </c>
    </row>
    <row r="18" spans="1:22" ht="24" customHeight="1" thickTop="1" x14ac:dyDescent="0.1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B1AC1-B131-C14A-8883-AFF93E415AB7}">
  <dimension ref="A1:N462"/>
  <sheetViews>
    <sheetView topLeftCell="E1" workbookViewId="0">
      <selection activeCell="N7" sqref="N7"/>
    </sheetView>
  </sheetViews>
  <sheetFormatPr baseColWidth="10" defaultRowHeight="13" x14ac:dyDescent="0.15"/>
  <cols>
    <col min="3" max="3" width="17.5" customWidth="1"/>
    <col min="4" max="4" width="22" customWidth="1"/>
    <col min="5" max="5" width="19.83203125" bestFit="1" customWidth="1"/>
    <col min="10" max="10" width="17.5" customWidth="1"/>
    <col min="13" max="13" width="15.5" customWidth="1"/>
    <col min="14" max="14" width="20.33203125" bestFit="1" customWidth="1"/>
  </cols>
  <sheetData>
    <row r="1" spans="1:14" x14ac:dyDescent="0.15">
      <c r="A1" s="1" t="s">
        <v>227</v>
      </c>
      <c r="B1" s="1" t="s">
        <v>228</v>
      </c>
      <c r="C1" s="1" t="s">
        <v>230</v>
      </c>
      <c r="D1" s="1" t="s">
        <v>231</v>
      </c>
      <c r="E1" s="1" t="s">
        <v>232</v>
      </c>
      <c r="H1" s="1" t="s">
        <v>227</v>
      </c>
      <c r="I1" s="1" t="s">
        <v>228</v>
      </c>
      <c r="J1" s="1" t="s">
        <v>230</v>
      </c>
      <c r="K1" s="1" t="s">
        <v>227</v>
      </c>
      <c r="L1" s="1" t="s">
        <v>228</v>
      </c>
      <c r="M1" s="1" t="s">
        <v>230</v>
      </c>
    </row>
    <row r="2" spans="1:14" x14ac:dyDescent="0.15">
      <c r="A2" s="103">
        <v>46127</v>
      </c>
      <c r="B2" s="22">
        <v>6967.3786886634098</v>
      </c>
      <c r="D2" s="102">
        <f>AVERAGE(C3:C242)</f>
        <v>7.9577588988379803E-3</v>
      </c>
      <c r="E2" s="105">
        <f>(1+D2)^12-1</f>
        <v>9.9785493634378053E-2</v>
      </c>
      <c r="F2">
        <f>LN(B3/B2)</f>
        <v>-6.5059198595560475E-2</v>
      </c>
      <c r="H2" s="103">
        <v>46127</v>
      </c>
      <c r="I2" s="22">
        <v>6967.3786886634098</v>
      </c>
      <c r="K2" s="103">
        <v>46127</v>
      </c>
      <c r="L2" s="22">
        <v>16.7</v>
      </c>
    </row>
    <row r="3" spans="1:14" x14ac:dyDescent="0.15">
      <c r="A3" s="104">
        <v>46112</v>
      </c>
      <c r="B3" s="24">
        <v>6528.5173836756603</v>
      </c>
      <c r="C3" s="105">
        <f>(B2-B3)/B3</f>
        <v>6.7222200569628188E-2</v>
      </c>
      <c r="F3">
        <f t="shared" ref="F3:F66" si="0">LN(B4/B3)</f>
        <v>5.2275759143574199E-2</v>
      </c>
      <c r="H3" s="104">
        <v>46112</v>
      </c>
      <c r="I3" s="24">
        <v>6528.5173836756603</v>
      </c>
      <c r="J3" s="105">
        <f>(I2-I3)/I3</f>
        <v>6.7222200569628188E-2</v>
      </c>
      <c r="K3" s="104">
        <v>46112</v>
      </c>
      <c r="L3" s="24">
        <v>16.46</v>
      </c>
      <c r="M3" s="105">
        <f>(L2-L3)/L3</f>
        <v>1.458080194410683E-2</v>
      </c>
      <c r="N3" s="106">
        <f>_xlfn.COVARIANCE.S(M3:M154,J3:J154)/_xlfn.VAR.S(J3:J154)</f>
        <v>1.478034938980465</v>
      </c>
    </row>
    <row r="4" spans="1:14" x14ac:dyDescent="0.15">
      <c r="A4" s="103">
        <v>46080</v>
      </c>
      <c r="B4" s="22">
        <v>6878.8784986626997</v>
      </c>
      <c r="C4" s="105">
        <f t="shared" ref="C4:C67" si="1">(B3-B4)/B4</f>
        <v>-5.0932883180761508E-2</v>
      </c>
      <c r="F4">
        <f t="shared" si="0"/>
        <v>8.7062964046800504E-3</v>
      </c>
      <c r="H4" s="103">
        <v>46080</v>
      </c>
      <c r="I4" s="22">
        <v>6878.8784986626997</v>
      </c>
      <c r="J4" s="105">
        <f t="shared" ref="J4:J67" si="2">(I3-I4)/I4</f>
        <v>-5.0932883180761508E-2</v>
      </c>
      <c r="K4" s="103">
        <v>46080</v>
      </c>
      <c r="L4" s="22">
        <v>16.84</v>
      </c>
      <c r="M4" s="105">
        <f t="shared" ref="M4:M67" si="3">(L3-L4)/L4</f>
        <v>-2.2565320665083075E-2</v>
      </c>
    </row>
    <row r="5" spans="1:14" x14ac:dyDescent="0.15">
      <c r="A5" s="104">
        <v>46052</v>
      </c>
      <c r="B5" s="24">
        <v>6939.0295201634999</v>
      </c>
      <c r="C5" s="105">
        <f t="shared" si="1"/>
        <v>-8.6685063561140318E-3</v>
      </c>
      <c r="F5">
        <f t="shared" si="0"/>
        <v>-1.3569736573858444E-2</v>
      </c>
      <c r="H5" s="104">
        <v>46052</v>
      </c>
      <c r="I5" s="24">
        <v>6939.0295201634999</v>
      </c>
      <c r="J5" s="105">
        <f t="shared" si="2"/>
        <v>-8.6685063561140318E-3</v>
      </c>
      <c r="K5" s="104">
        <v>46052</v>
      </c>
      <c r="L5" s="24">
        <v>18.399999999999999</v>
      </c>
      <c r="M5" s="105">
        <f t="shared" si="3"/>
        <v>-8.4782608695652115E-2</v>
      </c>
    </row>
    <row r="6" spans="1:14" x14ac:dyDescent="0.15">
      <c r="A6" s="103">
        <v>46022</v>
      </c>
      <c r="B6" s="22">
        <v>6845.5047061575797</v>
      </c>
      <c r="C6" s="105">
        <f t="shared" si="1"/>
        <v>1.366222331595127E-2</v>
      </c>
      <c r="F6">
        <f t="shared" si="0"/>
        <v>5.2322351043050902E-4</v>
      </c>
      <c r="H6" s="103">
        <v>46022</v>
      </c>
      <c r="I6" s="22">
        <v>6845.5047061575797</v>
      </c>
      <c r="J6" s="105">
        <f t="shared" si="2"/>
        <v>1.366222331595127E-2</v>
      </c>
      <c r="K6" s="103">
        <v>46022</v>
      </c>
      <c r="L6" s="22">
        <v>17.11</v>
      </c>
      <c r="M6" s="105">
        <f t="shared" si="3"/>
        <v>7.5394506136762074E-2</v>
      </c>
    </row>
    <row r="7" spans="1:14" x14ac:dyDescent="0.15">
      <c r="A7" s="104">
        <v>45989</v>
      </c>
      <c r="B7" s="24">
        <v>6849.0873723464601</v>
      </c>
      <c r="C7" s="105">
        <f t="shared" si="1"/>
        <v>-5.2308665287957405E-4</v>
      </c>
      <c r="F7">
        <f t="shared" si="0"/>
        <v>-1.2986261130861364E-3</v>
      </c>
      <c r="H7" s="104">
        <v>45989</v>
      </c>
      <c r="I7" s="24">
        <v>6849.0873723464601</v>
      </c>
      <c r="J7" s="105">
        <f t="shared" si="2"/>
        <v>-5.2308665287957405E-4</v>
      </c>
      <c r="K7" s="104">
        <v>45989</v>
      </c>
      <c r="L7" s="24">
        <v>14.79</v>
      </c>
      <c r="M7" s="105">
        <f t="shared" si="3"/>
        <v>0.15686274509803924</v>
      </c>
    </row>
    <row r="8" spans="1:14" x14ac:dyDescent="0.15">
      <c r="A8" s="103">
        <v>45961</v>
      </c>
      <c r="B8" s="22">
        <v>6840.1987413872303</v>
      </c>
      <c r="C8" s="105">
        <f t="shared" si="1"/>
        <v>1.2994696931023998E-3</v>
      </c>
      <c r="F8">
        <f t="shared" si="0"/>
        <v>-2.2433277645002386E-2</v>
      </c>
      <c r="H8" s="103">
        <v>45961</v>
      </c>
      <c r="I8" s="22">
        <v>6840.1987413872303</v>
      </c>
      <c r="J8" s="105">
        <f t="shared" si="2"/>
        <v>1.2994696931023998E-3</v>
      </c>
      <c r="K8" s="103">
        <v>45961</v>
      </c>
      <c r="L8" s="22">
        <v>22.11</v>
      </c>
      <c r="M8" s="105">
        <f t="shared" si="3"/>
        <v>-0.33107191316146545</v>
      </c>
    </row>
    <row r="9" spans="1:14" x14ac:dyDescent="0.15">
      <c r="A9" s="104">
        <v>45930</v>
      </c>
      <c r="B9" s="24">
        <v>6688.45903689016</v>
      </c>
      <c r="C9" s="105">
        <f t="shared" si="1"/>
        <v>2.2686795816517794E-2</v>
      </c>
      <c r="F9">
        <f t="shared" si="0"/>
        <v>-3.4713531828531742E-2</v>
      </c>
      <c r="H9" s="104">
        <v>45930</v>
      </c>
      <c r="I9" s="24">
        <v>6688.45903689016</v>
      </c>
      <c r="J9" s="105">
        <f t="shared" si="2"/>
        <v>2.2686795816517794E-2</v>
      </c>
      <c r="K9" s="104">
        <v>45930</v>
      </c>
      <c r="L9" s="24">
        <v>24.29</v>
      </c>
      <c r="M9" s="105">
        <f t="shared" si="3"/>
        <v>-8.9748867846850544E-2</v>
      </c>
    </row>
    <row r="10" spans="1:14" x14ac:dyDescent="0.15">
      <c r="A10" s="103">
        <v>45898</v>
      </c>
      <c r="B10" s="22">
        <v>6460.2626670192003</v>
      </c>
      <c r="C10" s="105">
        <f t="shared" si="1"/>
        <v>3.5323079204804327E-2</v>
      </c>
      <c r="F10">
        <f t="shared" si="0"/>
        <v>-1.8886707745788808E-2</v>
      </c>
      <c r="H10" s="103">
        <v>45898</v>
      </c>
      <c r="I10" s="22">
        <v>6460.2626670192003</v>
      </c>
      <c r="J10" s="105">
        <f t="shared" si="2"/>
        <v>3.5323079204804327E-2</v>
      </c>
      <c r="K10" s="103">
        <v>45898</v>
      </c>
      <c r="L10" s="22">
        <v>28.93</v>
      </c>
      <c r="M10" s="105">
        <f t="shared" si="3"/>
        <v>-0.16038714137573457</v>
      </c>
    </row>
    <row r="11" spans="1:14" x14ac:dyDescent="0.15">
      <c r="A11" s="104">
        <v>45869</v>
      </c>
      <c r="B11" s="24">
        <v>6339.3945671658003</v>
      </c>
      <c r="C11" s="105">
        <f t="shared" si="1"/>
        <v>1.9066189771405482E-2</v>
      </c>
      <c r="F11">
        <f t="shared" si="0"/>
        <v>-2.143527217157342E-2</v>
      </c>
      <c r="H11" s="104">
        <v>45869</v>
      </c>
      <c r="I11" s="24">
        <v>6339.3945671658003</v>
      </c>
      <c r="J11" s="105">
        <f t="shared" si="2"/>
        <v>1.9066189771405482E-2</v>
      </c>
      <c r="K11" s="104">
        <v>45869</v>
      </c>
      <c r="L11" s="24">
        <v>30.37</v>
      </c>
      <c r="M11" s="105">
        <f t="shared" si="3"/>
        <v>-4.7415212380638831E-2</v>
      </c>
    </row>
    <row r="12" spans="1:14" x14ac:dyDescent="0.15">
      <c r="A12" s="103">
        <v>45838</v>
      </c>
      <c r="B12" s="22">
        <v>6204.9539523896201</v>
      </c>
      <c r="C12" s="105">
        <f t="shared" si="1"/>
        <v>2.1666657932957759E-2</v>
      </c>
      <c r="F12">
        <f t="shared" si="0"/>
        <v>-4.8416805336867437E-2</v>
      </c>
      <c r="H12" s="103">
        <v>45838</v>
      </c>
      <c r="I12" s="22">
        <v>6204.9539523896201</v>
      </c>
      <c r="J12" s="105">
        <f t="shared" si="2"/>
        <v>2.1666657932957759E-2</v>
      </c>
      <c r="K12" s="103">
        <v>45838</v>
      </c>
      <c r="L12" s="22">
        <v>25.94</v>
      </c>
      <c r="M12" s="105">
        <f t="shared" si="3"/>
        <v>0.17077872012336159</v>
      </c>
    </row>
    <row r="13" spans="1:14" x14ac:dyDescent="0.15">
      <c r="A13" s="104">
        <v>45807</v>
      </c>
      <c r="B13" s="24">
        <v>5911.6867231263304</v>
      </c>
      <c r="C13" s="105">
        <f t="shared" si="1"/>
        <v>4.9608046400029554E-2</v>
      </c>
      <c r="F13">
        <f t="shared" si="0"/>
        <v>-5.9704074316823626E-2</v>
      </c>
      <c r="H13" s="104">
        <v>45807</v>
      </c>
      <c r="I13" s="24">
        <v>5911.6867231263304</v>
      </c>
      <c r="J13" s="105">
        <f t="shared" si="2"/>
        <v>4.9608046400029554E-2</v>
      </c>
      <c r="K13" s="104">
        <v>45807</v>
      </c>
      <c r="L13" s="24">
        <v>25.65</v>
      </c>
      <c r="M13" s="105">
        <f t="shared" si="3"/>
        <v>1.1306042884990359E-2</v>
      </c>
    </row>
    <row r="14" spans="1:14" x14ac:dyDescent="0.15">
      <c r="A14" s="103">
        <v>45777</v>
      </c>
      <c r="B14" s="22">
        <v>5569.0646749468096</v>
      </c>
      <c r="C14" s="105">
        <f t="shared" si="1"/>
        <v>6.1522368328895946E-2</v>
      </c>
      <c r="F14">
        <f t="shared" si="0"/>
        <v>7.6537800378984923E-3</v>
      </c>
      <c r="H14" s="103">
        <v>45777</v>
      </c>
      <c r="I14" s="22">
        <v>5569.0646749468096</v>
      </c>
      <c r="J14" s="105">
        <f t="shared" si="2"/>
        <v>6.1522368328895946E-2</v>
      </c>
      <c r="K14" s="103">
        <v>45777</v>
      </c>
      <c r="L14" s="22">
        <v>20.309999999999999</v>
      </c>
      <c r="M14" s="105">
        <f t="shared" si="3"/>
        <v>0.26292466765140327</v>
      </c>
    </row>
    <row r="15" spans="1:14" x14ac:dyDescent="0.15">
      <c r="A15" s="104">
        <v>45747</v>
      </c>
      <c r="B15" s="24">
        <v>5611.8526068176297</v>
      </c>
      <c r="C15" s="105">
        <f t="shared" si="1"/>
        <v>-7.6245644475477926E-3</v>
      </c>
      <c r="F15">
        <f t="shared" si="0"/>
        <v>5.9267148903103264E-2</v>
      </c>
      <c r="H15" s="104">
        <v>45747</v>
      </c>
      <c r="I15" s="24">
        <v>5611.8526068176297</v>
      </c>
      <c r="J15" s="105">
        <f t="shared" si="2"/>
        <v>-7.6245644475477926E-3</v>
      </c>
      <c r="K15" s="104">
        <v>45747</v>
      </c>
      <c r="L15" s="24">
        <v>23.34</v>
      </c>
      <c r="M15" s="105">
        <f t="shared" si="3"/>
        <v>-0.12982005141388181</v>
      </c>
    </row>
    <row r="16" spans="1:14" x14ac:dyDescent="0.15">
      <c r="A16" s="103">
        <v>45716</v>
      </c>
      <c r="B16" s="22">
        <v>5954.5048269650797</v>
      </c>
      <c r="C16" s="105">
        <f t="shared" si="1"/>
        <v>-5.7545040285422788E-2</v>
      </c>
      <c r="F16">
        <f t="shared" si="0"/>
        <v>1.4343036434776371E-2</v>
      </c>
      <c r="H16" s="103">
        <v>45716</v>
      </c>
      <c r="I16" s="22">
        <v>5954.5048269650797</v>
      </c>
      <c r="J16" s="105">
        <f t="shared" si="2"/>
        <v>-5.7545040285422788E-2</v>
      </c>
      <c r="K16" s="103">
        <v>45716</v>
      </c>
      <c r="L16" s="22">
        <v>27.73</v>
      </c>
      <c r="M16" s="105">
        <f t="shared" si="3"/>
        <v>-0.1583122971510999</v>
      </c>
    </row>
    <row r="17" spans="1:13" x14ac:dyDescent="0.15">
      <c r="A17" s="104">
        <v>45688</v>
      </c>
      <c r="B17" s="24">
        <v>6040.5259338818596</v>
      </c>
      <c r="C17" s="105">
        <f t="shared" si="1"/>
        <v>-1.4240665110678473E-2</v>
      </c>
      <c r="F17">
        <f t="shared" si="0"/>
        <v>-2.6657548775681359E-2</v>
      </c>
      <c r="H17" s="104">
        <v>45688</v>
      </c>
      <c r="I17" s="24">
        <v>6040.5259338818596</v>
      </c>
      <c r="J17" s="105">
        <f t="shared" si="2"/>
        <v>-1.4240665110678473E-2</v>
      </c>
      <c r="K17" s="104">
        <v>45688</v>
      </c>
      <c r="L17" s="24">
        <v>27.32</v>
      </c>
      <c r="M17" s="105">
        <f t="shared" si="3"/>
        <v>1.5007320644216697E-2</v>
      </c>
    </row>
    <row r="18" spans="1:13" x14ac:dyDescent="0.15">
      <c r="A18" s="103">
        <v>45657</v>
      </c>
      <c r="B18" s="22">
        <v>5881.6276482140902</v>
      </c>
      <c r="C18" s="105">
        <f t="shared" si="1"/>
        <v>2.7016039635902083E-2</v>
      </c>
      <c r="F18">
        <f t="shared" si="0"/>
        <v>2.5308822974086775E-2</v>
      </c>
      <c r="H18" s="103">
        <v>45657</v>
      </c>
      <c r="I18" s="22">
        <v>5881.6276482140902</v>
      </c>
      <c r="J18" s="105">
        <f t="shared" si="2"/>
        <v>2.7016039635902083E-2</v>
      </c>
      <c r="K18" s="103">
        <v>45657</v>
      </c>
      <c r="L18" s="22">
        <v>30.27</v>
      </c>
      <c r="M18" s="105">
        <f t="shared" si="3"/>
        <v>-9.7456227287743613E-2</v>
      </c>
    </row>
    <row r="19" spans="1:13" x14ac:dyDescent="0.15">
      <c r="A19" s="104">
        <v>45625</v>
      </c>
      <c r="B19" s="24">
        <v>6032.3844122739201</v>
      </c>
      <c r="C19" s="105">
        <f t="shared" si="1"/>
        <v>-2.4991239575695719E-2</v>
      </c>
      <c r="F19">
        <f t="shared" si="0"/>
        <v>-5.5720863566343724E-2</v>
      </c>
      <c r="H19" s="104">
        <v>45625</v>
      </c>
      <c r="I19" s="24">
        <v>6032.3844122739201</v>
      </c>
      <c r="J19" s="105">
        <f t="shared" si="2"/>
        <v>-2.4991239575695719E-2</v>
      </c>
      <c r="K19" s="104">
        <v>45625</v>
      </c>
      <c r="L19" s="24">
        <v>32.479999999999997</v>
      </c>
      <c r="M19" s="105">
        <f t="shared" si="3"/>
        <v>-6.804187192118219E-2</v>
      </c>
    </row>
    <row r="20" spans="1:13" x14ac:dyDescent="0.15">
      <c r="A20" s="103">
        <v>45596</v>
      </c>
      <c r="B20" s="22">
        <v>5705.4479206697297</v>
      </c>
      <c r="C20" s="105">
        <f t="shared" si="1"/>
        <v>5.7302510889594316E-2</v>
      </c>
      <c r="F20">
        <f t="shared" si="0"/>
        <v>9.9472911088498376E-3</v>
      </c>
      <c r="H20" s="103">
        <v>45596</v>
      </c>
      <c r="I20" s="22">
        <v>5705.4479206697297</v>
      </c>
      <c r="J20" s="105">
        <f t="shared" si="2"/>
        <v>5.7302510889594316E-2</v>
      </c>
      <c r="K20" s="103">
        <v>45596</v>
      </c>
      <c r="L20" s="22">
        <v>35.99</v>
      </c>
      <c r="M20" s="105">
        <f t="shared" si="3"/>
        <v>-9.752709085857196E-2</v>
      </c>
    </row>
    <row r="21" spans="1:13" x14ac:dyDescent="0.15">
      <c r="A21" s="104">
        <v>45565</v>
      </c>
      <c r="B21" s="24">
        <v>5762.4848833691203</v>
      </c>
      <c r="C21" s="105">
        <f t="shared" si="1"/>
        <v>-9.8979804465956622E-3</v>
      </c>
      <c r="F21">
        <f t="shared" si="0"/>
        <v>-1.9996955116012495E-2</v>
      </c>
      <c r="H21" s="104">
        <v>45565</v>
      </c>
      <c r="I21" s="24">
        <v>5762.4848833691203</v>
      </c>
      <c r="J21" s="105">
        <f t="shared" si="2"/>
        <v>-9.8979804465956622E-3</v>
      </c>
      <c r="K21" s="104">
        <v>45565</v>
      </c>
      <c r="L21" s="24">
        <v>41.5</v>
      </c>
      <c r="M21" s="105">
        <f t="shared" si="3"/>
        <v>-0.13277108433734935</v>
      </c>
    </row>
    <row r="22" spans="1:13" x14ac:dyDescent="0.15">
      <c r="A22" s="103">
        <v>45534</v>
      </c>
      <c r="B22" s="22">
        <v>5648.3972363167604</v>
      </c>
      <c r="C22" s="105">
        <f t="shared" si="1"/>
        <v>2.0198233636760793E-2</v>
      </c>
      <c r="F22">
        <f t="shared" si="0"/>
        <v>-2.2577057120465434E-2</v>
      </c>
      <c r="H22" s="103">
        <v>45534</v>
      </c>
      <c r="I22" s="22">
        <v>5648.3972363167604</v>
      </c>
      <c r="J22" s="105">
        <f t="shared" si="2"/>
        <v>2.0198233636760793E-2</v>
      </c>
      <c r="K22" s="103">
        <v>45534</v>
      </c>
      <c r="L22" s="22">
        <v>40.479999999999997</v>
      </c>
      <c r="M22" s="105">
        <f t="shared" si="3"/>
        <v>2.5197628458498104E-2</v>
      </c>
    </row>
    <row r="23" spans="1:13" x14ac:dyDescent="0.15">
      <c r="A23" s="104">
        <v>45504</v>
      </c>
      <c r="B23" s="24">
        <v>5522.3018368946596</v>
      </c>
      <c r="C23" s="105">
        <f t="shared" si="1"/>
        <v>2.2833847758855521E-2</v>
      </c>
      <c r="F23">
        <f t="shared" si="0"/>
        <v>-1.1257594803955393E-2</v>
      </c>
      <c r="H23" s="104">
        <v>45504</v>
      </c>
      <c r="I23" s="24">
        <v>5522.3018368946596</v>
      </c>
      <c r="J23" s="105">
        <f t="shared" si="2"/>
        <v>2.2833847758855521E-2</v>
      </c>
      <c r="K23" s="104">
        <v>45504</v>
      </c>
      <c r="L23" s="24">
        <v>53.39</v>
      </c>
      <c r="M23" s="105">
        <f t="shared" si="3"/>
        <v>-0.24180558156958237</v>
      </c>
    </row>
    <row r="24" spans="1:13" x14ac:dyDescent="0.15">
      <c r="A24" s="103">
        <v>45471</v>
      </c>
      <c r="B24" s="22">
        <v>5460.4826211495201</v>
      </c>
      <c r="C24" s="105">
        <f t="shared" si="1"/>
        <v>1.1321199980694288E-2</v>
      </c>
      <c r="F24">
        <f t="shared" si="0"/>
        <v>-3.4083285455230337E-2</v>
      </c>
      <c r="H24" s="103">
        <v>45471</v>
      </c>
      <c r="I24" s="22">
        <v>5460.4826211495201</v>
      </c>
      <c r="J24" s="105">
        <f t="shared" si="2"/>
        <v>1.1321199980694288E-2</v>
      </c>
      <c r="K24" s="103">
        <v>45471</v>
      </c>
      <c r="L24" s="22">
        <v>48.19</v>
      </c>
      <c r="M24" s="105">
        <f t="shared" si="3"/>
        <v>0.10790620460676495</v>
      </c>
    </row>
    <row r="25" spans="1:13" x14ac:dyDescent="0.15">
      <c r="A25" s="104">
        <v>45443</v>
      </c>
      <c r="B25" s="24">
        <v>5277.5073452655797</v>
      </c>
      <c r="C25" s="105">
        <f t="shared" si="1"/>
        <v>3.4670776166344217E-2</v>
      </c>
      <c r="F25">
        <f t="shared" si="0"/>
        <v>-4.6903001738192111E-2</v>
      </c>
      <c r="H25" s="104">
        <v>45443</v>
      </c>
      <c r="I25" s="24">
        <v>5277.5073452655797</v>
      </c>
      <c r="J25" s="105">
        <f t="shared" si="2"/>
        <v>3.4670776166344217E-2</v>
      </c>
      <c r="K25" s="104">
        <v>45443</v>
      </c>
      <c r="L25" s="24">
        <v>46.62</v>
      </c>
      <c r="M25" s="105">
        <f t="shared" si="3"/>
        <v>3.3676533676533685E-2</v>
      </c>
    </row>
    <row r="26" spans="1:13" x14ac:dyDescent="0.15">
      <c r="A26" s="103">
        <v>45412</v>
      </c>
      <c r="B26" s="22">
        <v>5035.6916784595196</v>
      </c>
      <c r="C26" s="105">
        <f t="shared" si="1"/>
        <v>4.8020347997166202E-2</v>
      </c>
      <c r="F26">
        <f t="shared" si="0"/>
        <v>4.2506251788631648E-2</v>
      </c>
      <c r="H26" s="103">
        <v>45412</v>
      </c>
      <c r="I26" s="22">
        <v>5035.6916784595196</v>
      </c>
      <c r="J26" s="105">
        <f t="shared" si="2"/>
        <v>4.8020347997166202E-2</v>
      </c>
      <c r="K26" s="103">
        <v>45412</v>
      </c>
      <c r="L26" s="22">
        <v>38.92</v>
      </c>
      <c r="M26" s="105">
        <f t="shared" si="3"/>
        <v>0.19784172661870492</v>
      </c>
    </row>
    <row r="27" spans="1:13" x14ac:dyDescent="0.15">
      <c r="A27" s="104">
        <v>45379</v>
      </c>
      <c r="B27" s="24">
        <v>5254.3544012624097</v>
      </c>
      <c r="C27" s="105">
        <f t="shared" si="1"/>
        <v>-4.1615526114940835E-2</v>
      </c>
      <c r="F27">
        <f t="shared" si="0"/>
        <v>-3.054834113772012E-2</v>
      </c>
      <c r="H27" s="104">
        <v>45379</v>
      </c>
      <c r="I27" s="24">
        <v>5254.3544012624097</v>
      </c>
      <c r="J27" s="105">
        <f t="shared" si="2"/>
        <v>-4.1615526114940835E-2</v>
      </c>
      <c r="K27" s="104">
        <v>45379</v>
      </c>
      <c r="L27" s="24">
        <v>52.07</v>
      </c>
      <c r="M27" s="105">
        <f t="shared" si="3"/>
        <v>-0.25254465143076626</v>
      </c>
    </row>
    <row r="28" spans="1:13" x14ac:dyDescent="0.15">
      <c r="A28" s="103">
        <v>45351</v>
      </c>
      <c r="B28" s="22">
        <v>5096.2694998622401</v>
      </c>
      <c r="C28" s="105">
        <f t="shared" si="1"/>
        <v>3.1019729510859448E-2</v>
      </c>
      <c r="F28">
        <f t="shared" si="0"/>
        <v>-5.0427989035260343E-2</v>
      </c>
      <c r="H28" s="103">
        <v>45351</v>
      </c>
      <c r="I28" s="22">
        <v>5096.2694998622401</v>
      </c>
      <c r="J28" s="105">
        <f t="shared" si="2"/>
        <v>3.1019729510859448E-2</v>
      </c>
      <c r="K28" s="103">
        <v>45351</v>
      </c>
      <c r="L28" s="22">
        <v>50.59</v>
      </c>
      <c r="M28" s="105">
        <f t="shared" si="3"/>
        <v>2.9254793437438167E-2</v>
      </c>
    </row>
    <row r="29" spans="1:13" x14ac:dyDescent="0.15">
      <c r="A29" s="104">
        <v>45322</v>
      </c>
      <c r="B29" s="24">
        <v>4845.6471757314503</v>
      </c>
      <c r="C29" s="105">
        <f t="shared" si="1"/>
        <v>5.1721125175185373E-2</v>
      </c>
      <c r="F29">
        <f t="shared" si="0"/>
        <v>-1.5770271100838645E-2</v>
      </c>
      <c r="H29" s="104">
        <v>45322</v>
      </c>
      <c r="I29" s="24">
        <v>4845.6471757314503</v>
      </c>
      <c r="J29" s="105">
        <f t="shared" si="2"/>
        <v>5.1721125175185373E-2</v>
      </c>
      <c r="K29" s="104">
        <v>45322</v>
      </c>
      <c r="L29" s="24">
        <v>63.04</v>
      </c>
      <c r="M29" s="105">
        <f t="shared" si="3"/>
        <v>-0.19749365482233497</v>
      </c>
    </row>
    <row r="30" spans="1:13" x14ac:dyDescent="0.15">
      <c r="A30" s="103">
        <v>45289</v>
      </c>
      <c r="B30" s="22">
        <v>4769.8294107906704</v>
      </c>
      <c r="C30" s="105">
        <f t="shared" si="1"/>
        <v>1.5895278093019247E-2</v>
      </c>
      <c r="F30">
        <f t="shared" si="0"/>
        <v>-4.327915000389429E-2</v>
      </c>
      <c r="H30" s="103">
        <v>45289</v>
      </c>
      <c r="I30" s="22">
        <v>4769.8294107906704</v>
      </c>
      <c r="J30" s="105">
        <f t="shared" si="2"/>
        <v>1.5895278093019247E-2</v>
      </c>
      <c r="K30" s="103">
        <v>45289</v>
      </c>
      <c r="L30" s="22">
        <v>67.48</v>
      </c>
      <c r="M30" s="105">
        <f t="shared" si="3"/>
        <v>-6.5797273266153006E-2</v>
      </c>
    </row>
    <row r="31" spans="1:13" x14ac:dyDescent="0.15">
      <c r="A31" s="104">
        <v>45260</v>
      </c>
      <c r="B31" s="24">
        <v>4567.7986422755303</v>
      </c>
      <c r="C31" s="105">
        <f t="shared" si="1"/>
        <v>4.4229350796097029E-2</v>
      </c>
      <c r="F31">
        <f t="shared" si="0"/>
        <v>-8.542391937328328E-2</v>
      </c>
      <c r="H31" s="104">
        <v>45260</v>
      </c>
      <c r="I31" s="24">
        <v>4567.7986422755303</v>
      </c>
      <c r="J31" s="105">
        <f t="shared" si="2"/>
        <v>4.4229350796097029E-2</v>
      </c>
      <c r="K31" s="104">
        <v>45260</v>
      </c>
      <c r="L31" s="24">
        <v>62.51</v>
      </c>
      <c r="M31" s="105">
        <f t="shared" si="3"/>
        <v>7.9507278835386441E-2</v>
      </c>
    </row>
    <row r="32" spans="1:13" x14ac:dyDescent="0.15">
      <c r="A32" s="103">
        <v>45230</v>
      </c>
      <c r="B32" s="22">
        <v>4193.8009552474696</v>
      </c>
      <c r="C32" s="105">
        <f t="shared" si="1"/>
        <v>8.9178692794205747E-2</v>
      </c>
      <c r="F32">
        <f t="shared" si="0"/>
        <v>2.2225573626558377E-2</v>
      </c>
      <c r="H32" s="103">
        <v>45230</v>
      </c>
      <c r="I32" s="22">
        <v>4193.8009552474696</v>
      </c>
      <c r="J32" s="105">
        <f t="shared" si="2"/>
        <v>8.9178692794205747E-2</v>
      </c>
      <c r="K32" s="103">
        <v>45230</v>
      </c>
      <c r="L32" s="22">
        <v>81.47</v>
      </c>
      <c r="M32" s="105">
        <f t="shared" si="3"/>
        <v>-0.23272370197618758</v>
      </c>
    </row>
    <row r="33" spans="1:13" x14ac:dyDescent="0.15">
      <c r="A33" s="104">
        <v>45198</v>
      </c>
      <c r="B33" s="24">
        <v>4288.05412263992</v>
      </c>
      <c r="C33" s="105">
        <f t="shared" si="1"/>
        <v>-2.1980405260002629E-2</v>
      </c>
      <c r="F33">
        <f t="shared" si="0"/>
        <v>4.9945523823496464E-2</v>
      </c>
      <c r="H33" s="104">
        <v>45198</v>
      </c>
      <c r="I33" s="24">
        <v>4288.05412263992</v>
      </c>
      <c r="J33" s="105">
        <f t="shared" si="2"/>
        <v>-2.1980405260002629E-2</v>
      </c>
      <c r="K33" s="104">
        <v>45198</v>
      </c>
      <c r="L33" s="24">
        <v>99.08</v>
      </c>
      <c r="M33" s="105">
        <f t="shared" si="3"/>
        <v>-0.17773516350423899</v>
      </c>
    </row>
    <row r="34" spans="1:13" x14ac:dyDescent="0.15">
      <c r="A34" s="103">
        <v>45169</v>
      </c>
      <c r="B34" s="22">
        <v>4507.66179195929</v>
      </c>
      <c r="C34" s="105">
        <f t="shared" si="1"/>
        <v>-4.8718754745776034E-2</v>
      </c>
      <c r="F34">
        <f t="shared" si="0"/>
        <v>1.7875097577016968E-2</v>
      </c>
      <c r="H34" s="103">
        <v>45169</v>
      </c>
      <c r="I34" s="22">
        <v>4507.66179195929</v>
      </c>
      <c r="J34" s="105">
        <f t="shared" si="2"/>
        <v>-4.8718754745776034E-2</v>
      </c>
      <c r="K34" s="103">
        <v>45169</v>
      </c>
      <c r="L34" s="22">
        <v>110.81</v>
      </c>
      <c r="M34" s="105">
        <f t="shared" si="3"/>
        <v>-0.1058568721234546</v>
      </c>
    </row>
    <row r="35" spans="1:13" x14ac:dyDescent="0.15">
      <c r="A35" s="104">
        <v>45138</v>
      </c>
      <c r="B35" s="24">
        <v>4588.9611384978498</v>
      </c>
      <c r="C35" s="105">
        <f t="shared" si="1"/>
        <v>-1.7716285687521059E-2</v>
      </c>
      <c r="F35">
        <f t="shared" si="0"/>
        <v>-3.0663886419517266E-2</v>
      </c>
      <c r="H35" s="104">
        <v>45138</v>
      </c>
      <c r="I35" s="24">
        <v>4588.9611384978498</v>
      </c>
      <c r="J35" s="105">
        <f t="shared" si="2"/>
        <v>-1.7716285687521059E-2</v>
      </c>
      <c r="K35" s="104">
        <v>45138</v>
      </c>
      <c r="L35" s="24">
        <v>111.9</v>
      </c>
      <c r="M35" s="105">
        <f t="shared" si="3"/>
        <v>-9.7408400357462312E-3</v>
      </c>
    </row>
    <row r="36" spans="1:13" x14ac:dyDescent="0.15">
      <c r="A36" s="103">
        <v>45107</v>
      </c>
      <c r="B36" s="22">
        <v>4450.3813118092103</v>
      </c>
      <c r="C36" s="105">
        <f t="shared" si="1"/>
        <v>3.1138865858733069E-2</v>
      </c>
      <c r="F36">
        <f t="shared" si="0"/>
        <v>-6.2720290471248691E-2</v>
      </c>
      <c r="H36" s="103">
        <v>45107</v>
      </c>
      <c r="I36" s="22">
        <v>4450.3813118092103</v>
      </c>
      <c r="J36" s="105">
        <f t="shared" si="2"/>
        <v>3.1138865858733069E-2</v>
      </c>
      <c r="K36" s="103">
        <v>45107</v>
      </c>
      <c r="L36" s="22">
        <v>108.51</v>
      </c>
      <c r="M36" s="105">
        <f t="shared" si="3"/>
        <v>3.1241360243295553E-2</v>
      </c>
    </row>
    <row r="37" spans="1:13" x14ac:dyDescent="0.15">
      <c r="A37" s="104">
        <v>45077</v>
      </c>
      <c r="B37" s="24">
        <v>4179.8254616673503</v>
      </c>
      <c r="C37" s="105">
        <f t="shared" si="1"/>
        <v>6.4728982734588658E-2</v>
      </c>
      <c r="F37">
        <f t="shared" si="0"/>
        <v>-2.4778263619604527E-3</v>
      </c>
      <c r="H37" s="104">
        <v>45077</v>
      </c>
      <c r="I37" s="24">
        <v>4179.8254616673503</v>
      </c>
      <c r="J37" s="105">
        <f t="shared" si="2"/>
        <v>6.4728982734588658E-2</v>
      </c>
      <c r="K37" s="104">
        <v>45077</v>
      </c>
      <c r="L37" s="24">
        <v>88.92</v>
      </c>
      <c r="M37" s="105">
        <f t="shared" si="3"/>
        <v>0.22031039136302297</v>
      </c>
    </row>
    <row r="38" spans="1:13" x14ac:dyDescent="0.15">
      <c r="A38" s="103">
        <v>45044</v>
      </c>
      <c r="B38" s="22">
        <v>4169.4814006359802</v>
      </c>
      <c r="C38" s="105">
        <f t="shared" si="1"/>
        <v>2.4808987107586742E-3</v>
      </c>
      <c r="F38">
        <f t="shared" si="0"/>
        <v>-1.453593762033412E-2</v>
      </c>
      <c r="H38" s="103">
        <v>45044</v>
      </c>
      <c r="I38" s="22">
        <v>4169.4814006359802</v>
      </c>
      <c r="J38" s="105">
        <f t="shared" si="2"/>
        <v>2.4808987107586742E-3</v>
      </c>
      <c r="K38" s="103">
        <v>45044</v>
      </c>
      <c r="L38" s="22">
        <v>110.87</v>
      </c>
      <c r="M38" s="105">
        <f t="shared" si="3"/>
        <v>-0.1979796157662127</v>
      </c>
    </row>
    <row r="39" spans="1:13" x14ac:dyDescent="0.15">
      <c r="A39" s="104">
        <v>45016</v>
      </c>
      <c r="B39" s="24">
        <v>4109.3124446214697</v>
      </c>
      <c r="C39" s="105">
        <f t="shared" si="1"/>
        <v>1.4642098118692212E-2</v>
      </c>
      <c r="F39">
        <f t="shared" si="0"/>
        <v>-3.4450981648007424E-2</v>
      </c>
      <c r="H39" s="104">
        <v>45016</v>
      </c>
      <c r="I39" s="24">
        <v>4109.3124446214697</v>
      </c>
      <c r="J39" s="105">
        <f t="shared" si="2"/>
        <v>1.4642098118692212E-2</v>
      </c>
      <c r="K39" s="104">
        <v>45016</v>
      </c>
      <c r="L39" s="24">
        <v>121.37</v>
      </c>
      <c r="M39" s="105">
        <f t="shared" si="3"/>
        <v>-8.6512317706187683E-2</v>
      </c>
    </row>
    <row r="40" spans="1:13" x14ac:dyDescent="0.15">
      <c r="A40" s="103">
        <v>44985</v>
      </c>
      <c r="B40" s="22">
        <v>3970.15344248664</v>
      </c>
      <c r="C40" s="105">
        <f t="shared" si="1"/>
        <v>3.5051290624089779E-2</v>
      </c>
      <c r="F40">
        <f t="shared" si="0"/>
        <v>2.6459500123343076E-2</v>
      </c>
      <c r="H40" s="103">
        <v>44985</v>
      </c>
      <c r="I40" s="22">
        <v>3970.15344248664</v>
      </c>
      <c r="J40" s="105">
        <f t="shared" si="2"/>
        <v>3.5051290624089779E-2</v>
      </c>
      <c r="K40" s="103">
        <v>44985</v>
      </c>
      <c r="L40" s="22">
        <v>117.5</v>
      </c>
      <c r="M40" s="105">
        <f t="shared" si="3"/>
        <v>3.2936170212765993E-2</v>
      </c>
    </row>
    <row r="41" spans="1:13" x14ac:dyDescent="0.15">
      <c r="A41" s="104">
        <v>44957</v>
      </c>
      <c r="B41" s="24">
        <v>4076.6038194027801</v>
      </c>
      <c r="C41" s="105">
        <f t="shared" si="1"/>
        <v>-2.6112514640123912E-2</v>
      </c>
      <c r="F41">
        <f t="shared" si="0"/>
        <v>-5.9922983789880646E-2</v>
      </c>
      <c r="H41" s="104">
        <v>44957</v>
      </c>
      <c r="I41" s="24">
        <v>4076.6038194027801</v>
      </c>
      <c r="J41" s="105">
        <f t="shared" si="2"/>
        <v>-2.6112514640123912E-2</v>
      </c>
      <c r="K41" s="104">
        <v>44957</v>
      </c>
      <c r="L41" s="24">
        <v>118.09</v>
      </c>
      <c r="M41" s="105">
        <f t="shared" si="3"/>
        <v>-4.9961893471081667E-3</v>
      </c>
    </row>
    <row r="42" spans="1:13" x14ac:dyDescent="0.15">
      <c r="A42" s="103">
        <v>44925</v>
      </c>
      <c r="B42" s="22">
        <v>3839.4965866768098</v>
      </c>
      <c r="C42" s="105">
        <f t="shared" si="1"/>
        <v>6.1754771067837617E-2</v>
      </c>
      <c r="F42">
        <f t="shared" si="0"/>
        <v>6.0781843019203509E-2</v>
      </c>
      <c r="H42" s="103">
        <v>44925</v>
      </c>
      <c r="I42" s="22">
        <v>3839.4965866768098</v>
      </c>
      <c r="J42" s="105">
        <f t="shared" si="2"/>
        <v>6.1754771067837617E-2</v>
      </c>
      <c r="K42" s="103">
        <v>44925</v>
      </c>
      <c r="L42" s="22">
        <v>91.23</v>
      </c>
      <c r="M42" s="105">
        <f t="shared" si="3"/>
        <v>0.29442069494683765</v>
      </c>
    </row>
    <row r="43" spans="1:13" x14ac:dyDescent="0.15">
      <c r="A43" s="104">
        <v>44895</v>
      </c>
      <c r="B43" s="24">
        <v>4080.1065521792402</v>
      </c>
      <c r="C43" s="105">
        <f t="shared" si="1"/>
        <v>-5.8971490676859258E-2</v>
      </c>
      <c r="F43">
        <f t="shared" si="0"/>
        <v>-5.2357817306809391E-2</v>
      </c>
      <c r="H43" s="104">
        <v>44895</v>
      </c>
      <c r="I43" s="24">
        <v>4080.1065521792402</v>
      </c>
      <c r="J43" s="105">
        <f t="shared" si="2"/>
        <v>-5.8971490676859258E-2</v>
      </c>
      <c r="K43" s="104">
        <v>44895</v>
      </c>
      <c r="L43" s="24">
        <v>106.1</v>
      </c>
      <c r="M43" s="105">
        <f t="shared" si="3"/>
        <v>-0.14015080113100839</v>
      </c>
    </row>
    <row r="44" spans="1:13" x14ac:dyDescent="0.15">
      <c r="A44" s="103">
        <v>44865</v>
      </c>
      <c r="B44" s="22">
        <v>3871.9772214167401</v>
      </c>
      <c r="C44" s="105">
        <f t="shared" si="1"/>
        <v>5.3752726026199724E-2</v>
      </c>
      <c r="F44">
        <f t="shared" si="0"/>
        <v>-7.6832740137059458E-2</v>
      </c>
      <c r="H44" s="103">
        <v>44865</v>
      </c>
      <c r="I44" s="22">
        <v>3871.9772214167401</v>
      </c>
      <c r="J44" s="105">
        <f t="shared" si="2"/>
        <v>5.3752726026199724E-2</v>
      </c>
      <c r="K44" s="103">
        <v>44865</v>
      </c>
      <c r="L44" s="22">
        <v>87.85</v>
      </c>
      <c r="M44" s="105">
        <f t="shared" si="3"/>
        <v>0.20774046670461013</v>
      </c>
    </row>
    <row r="45" spans="1:13" x14ac:dyDescent="0.15">
      <c r="A45" s="104">
        <v>44834</v>
      </c>
      <c r="B45" s="24">
        <v>3585.6241035486801</v>
      </c>
      <c r="C45" s="105">
        <f t="shared" si="1"/>
        <v>7.9861443809644564E-2</v>
      </c>
      <c r="F45">
        <f t="shared" si="0"/>
        <v>9.8047802273553072E-2</v>
      </c>
      <c r="H45" s="104">
        <v>44834</v>
      </c>
      <c r="I45" s="24">
        <v>3585.6241035486801</v>
      </c>
      <c r="J45" s="105">
        <f t="shared" si="2"/>
        <v>7.9861443809644564E-2</v>
      </c>
      <c r="K45" s="104">
        <v>44834</v>
      </c>
      <c r="L45" s="24">
        <v>79.08</v>
      </c>
      <c r="M45" s="105">
        <f t="shared" si="3"/>
        <v>0.11090035407182595</v>
      </c>
    </row>
    <row r="46" spans="1:13" x14ac:dyDescent="0.15">
      <c r="A46" s="103">
        <v>44804</v>
      </c>
      <c r="B46" s="22">
        <v>3954.9990010277702</v>
      </c>
      <c r="C46" s="105">
        <f t="shared" si="1"/>
        <v>-9.3394435089137084E-2</v>
      </c>
      <c r="F46">
        <f t="shared" si="0"/>
        <v>4.3366250573489223E-2</v>
      </c>
      <c r="H46" s="103">
        <v>44804</v>
      </c>
      <c r="I46" s="22">
        <v>3954.9990010277702</v>
      </c>
      <c r="J46" s="105">
        <f t="shared" si="2"/>
        <v>-9.3394435089137084E-2</v>
      </c>
      <c r="K46" s="103">
        <v>44804</v>
      </c>
      <c r="L46" s="22">
        <v>93.21</v>
      </c>
      <c r="M46" s="105">
        <f t="shared" si="3"/>
        <v>-0.15159317669777916</v>
      </c>
    </row>
    <row r="47" spans="1:13" x14ac:dyDescent="0.15">
      <c r="A47" s="104">
        <v>44771</v>
      </c>
      <c r="B47" s="24">
        <v>4130.2857738191597</v>
      </c>
      <c r="C47" s="105">
        <f t="shared" si="1"/>
        <v>-4.2439381289906895E-2</v>
      </c>
      <c r="F47">
        <f t="shared" si="0"/>
        <v>-8.7199040887706067E-2</v>
      </c>
      <c r="H47" s="104">
        <v>44771</v>
      </c>
      <c r="I47" s="24">
        <v>4130.2857738191597</v>
      </c>
      <c r="J47" s="105">
        <f t="shared" si="2"/>
        <v>-4.2439381289906895E-2</v>
      </c>
      <c r="K47" s="104">
        <v>44771</v>
      </c>
      <c r="L47" s="24">
        <v>94.66</v>
      </c>
      <c r="M47" s="105">
        <f t="shared" si="3"/>
        <v>-1.531798013944647E-2</v>
      </c>
    </row>
    <row r="48" spans="1:13" x14ac:dyDescent="0.15">
      <c r="A48" s="103">
        <v>44742</v>
      </c>
      <c r="B48" s="22">
        <v>3785.3848459311398</v>
      </c>
      <c r="C48" s="105">
        <f t="shared" si="1"/>
        <v>9.1113834372415076E-2</v>
      </c>
      <c r="F48">
        <f t="shared" si="0"/>
        <v>8.7649757534728229E-2</v>
      </c>
      <c r="H48" s="103">
        <v>44742</v>
      </c>
      <c r="I48" s="22">
        <v>3785.3848459311398</v>
      </c>
      <c r="J48" s="105">
        <f t="shared" si="2"/>
        <v>9.1113834372415076E-2</v>
      </c>
      <c r="K48" s="103">
        <v>44742</v>
      </c>
      <c r="L48" s="22">
        <v>80.540000000000006</v>
      </c>
      <c r="M48" s="105">
        <f t="shared" si="3"/>
        <v>0.17531661286317343</v>
      </c>
    </row>
    <row r="49" spans="1:13" x14ac:dyDescent="0.15">
      <c r="A49" s="104">
        <v>44712</v>
      </c>
      <c r="B49" s="24">
        <v>4132.1477819618904</v>
      </c>
      <c r="C49" s="105">
        <f t="shared" si="1"/>
        <v>-8.3918328754958513E-2</v>
      </c>
      <c r="F49">
        <f t="shared" si="0"/>
        <v>-5.3574442627318952E-5</v>
      </c>
      <c r="H49" s="104">
        <v>44712</v>
      </c>
      <c r="I49" s="24">
        <v>4132.1477819618904</v>
      </c>
      <c r="J49" s="105">
        <f t="shared" si="2"/>
        <v>-8.3918328754958513E-2</v>
      </c>
      <c r="K49" s="104">
        <v>44712</v>
      </c>
      <c r="L49" s="24">
        <v>82.02</v>
      </c>
      <c r="M49" s="105">
        <f t="shared" si="3"/>
        <v>-1.804437941965362E-2</v>
      </c>
    </row>
    <row r="50" spans="1:13" x14ac:dyDescent="0.15">
      <c r="A50" s="103">
        <v>44680</v>
      </c>
      <c r="B50" s="22">
        <v>4131.9264103776004</v>
      </c>
      <c r="C50" s="105">
        <f t="shared" si="1"/>
        <v>5.3575877763448441E-5</v>
      </c>
      <c r="F50">
        <f t="shared" si="0"/>
        <v>9.2069463604583818E-2</v>
      </c>
      <c r="H50" s="103">
        <v>44680</v>
      </c>
      <c r="I50" s="22">
        <v>4131.9264103776004</v>
      </c>
      <c r="J50" s="105">
        <f t="shared" si="2"/>
        <v>5.3575877763448441E-5</v>
      </c>
      <c r="K50" s="103">
        <v>44680</v>
      </c>
      <c r="L50" s="22">
        <v>81.88</v>
      </c>
      <c r="M50" s="105">
        <f t="shared" si="3"/>
        <v>1.7098192476795381E-3</v>
      </c>
    </row>
    <row r="51" spans="1:13" x14ac:dyDescent="0.15">
      <c r="A51" s="104">
        <v>44651</v>
      </c>
      <c r="B51" s="24">
        <v>4530.4134516834702</v>
      </c>
      <c r="C51" s="105">
        <f t="shared" si="1"/>
        <v>-8.795820636586596E-2</v>
      </c>
      <c r="F51">
        <f t="shared" si="0"/>
        <v>-3.5149194884206154E-2</v>
      </c>
      <c r="H51" s="104">
        <v>44651</v>
      </c>
      <c r="I51" s="24">
        <v>4530.4134516834702</v>
      </c>
      <c r="J51" s="105">
        <f t="shared" si="2"/>
        <v>-8.795820636586596E-2</v>
      </c>
      <c r="K51" s="104">
        <v>44651</v>
      </c>
      <c r="L51" s="24">
        <v>97.95</v>
      </c>
      <c r="M51" s="105">
        <f t="shared" si="3"/>
        <v>-0.16406329760081681</v>
      </c>
    </row>
    <row r="52" spans="1:13" x14ac:dyDescent="0.15">
      <c r="A52" s="103">
        <v>44620</v>
      </c>
      <c r="B52" s="22">
        <v>4373.9391488044403</v>
      </c>
      <c r="C52" s="105">
        <f t="shared" si="1"/>
        <v>3.5774229488720735E-2</v>
      </c>
      <c r="F52">
        <f t="shared" si="0"/>
        <v>3.186244925440565E-2</v>
      </c>
      <c r="H52" s="103">
        <v>44620</v>
      </c>
      <c r="I52" s="22">
        <v>4373.9391488044403</v>
      </c>
      <c r="J52" s="105">
        <f t="shared" si="2"/>
        <v>3.5774229488720735E-2</v>
      </c>
      <c r="K52" s="103">
        <v>44620</v>
      </c>
      <c r="L52" s="22">
        <v>118.02</v>
      </c>
      <c r="M52" s="105">
        <f t="shared" si="3"/>
        <v>-0.17005592272496181</v>
      </c>
    </row>
    <row r="53" spans="1:13" x14ac:dyDescent="0.15">
      <c r="A53" s="104">
        <v>44592</v>
      </c>
      <c r="B53" s="24">
        <v>4515.5475786242396</v>
      </c>
      <c r="C53" s="105">
        <f t="shared" si="1"/>
        <v>-3.1360189955731442E-2</v>
      </c>
      <c r="F53">
        <f t="shared" si="0"/>
        <v>5.4019309745528175E-2</v>
      </c>
      <c r="H53" s="104">
        <v>44592</v>
      </c>
      <c r="I53" s="24">
        <v>4515.5475786242396</v>
      </c>
      <c r="J53" s="105">
        <f t="shared" si="2"/>
        <v>-3.1360189955731442E-2</v>
      </c>
      <c r="K53" s="104">
        <v>44592</v>
      </c>
      <c r="L53" s="24">
        <v>133.07</v>
      </c>
      <c r="M53" s="105">
        <f t="shared" si="3"/>
        <v>-0.11309836927932665</v>
      </c>
    </row>
    <row r="54" spans="1:13" x14ac:dyDescent="0.15">
      <c r="A54" s="103">
        <v>44561</v>
      </c>
      <c r="B54" s="22">
        <v>4766.1829724283098</v>
      </c>
      <c r="C54" s="105">
        <f t="shared" si="1"/>
        <v>-5.2586187994451805E-2</v>
      </c>
      <c r="F54">
        <f t="shared" si="0"/>
        <v>-4.2688907798907855E-2</v>
      </c>
      <c r="H54" s="103">
        <v>44561</v>
      </c>
      <c r="I54" s="22">
        <v>4766.1829724283098</v>
      </c>
      <c r="J54" s="105">
        <f t="shared" si="2"/>
        <v>-5.2586187994451805E-2</v>
      </c>
      <c r="K54" s="103">
        <v>44561</v>
      </c>
      <c r="L54" s="22">
        <v>170.1</v>
      </c>
      <c r="M54" s="105">
        <f t="shared" si="3"/>
        <v>-0.21769547325102881</v>
      </c>
    </row>
    <row r="55" spans="1:13" x14ac:dyDescent="0.15">
      <c r="A55" s="104">
        <v>44530</v>
      </c>
      <c r="B55" s="24">
        <v>4567.0014940092397</v>
      </c>
      <c r="C55" s="105">
        <f t="shared" si="1"/>
        <v>4.3613184423159541E-2</v>
      </c>
      <c r="F55">
        <f t="shared" si="0"/>
        <v>8.3675961635204139E-3</v>
      </c>
      <c r="H55" s="104">
        <v>44530</v>
      </c>
      <c r="I55" s="24">
        <v>4567.0014940092397</v>
      </c>
      <c r="J55" s="105">
        <f t="shared" si="2"/>
        <v>4.3613184423159541E-2</v>
      </c>
      <c r="K55" s="104">
        <v>44530</v>
      </c>
      <c r="L55" s="24">
        <v>175.77</v>
      </c>
      <c r="M55" s="105">
        <f t="shared" si="3"/>
        <v>-3.2258064516129122E-2</v>
      </c>
    </row>
    <row r="56" spans="1:13" x14ac:dyDescent="0.15">
      <c r="A56" s="103">
        <v>44498</v>
      </c>
      <c r="B56" s="22">
        <v>4605.3766481776001</v>
      </c>
      <c r="C56" s="105">
        <f t="shared" si="1"/>
        <v>-8.3326852720169986E-3</v>
      </c>
      <c r="F56">
        <f t="shared" si="0"/>
        <v>-6.6857771997623355E-2</v>
      </c>
      <c r="H56" s="103">
        <v>44498</v>
      </c>
      <c r="I56" s="22">
        <v>4605.3766481776001</v>
      </c>
      <c r="J56" s="105">
        <f t="shared" si="2"/>
        <v>-8.3326852720169986E-3</v>
      </c>
      <c r="K56" s="103">
        <v>44498</v>
      </c>
      <c r="L56" s="22">
        <v>160.94999999999999</v>
      </c>
      <c r="M56" s="105">
        <f t="shared" si="3"/>
        <v>9.2078285181733596E-2</v>
      </c>
    </row>
    <row r="57" spans="1:13" x14ac:dyDescent="0.15">
      <c r="A57" s="104">
        <v>44469</v>
      </c>
      <c r="B57" s="24">
        <v>4307.5387507897103</v>
      </c>
      <c r="C57" s="105">
        <f t="shared" si="1"/>
        <v>6.9143405229560986E-2</v>
      </c>
      <c r="F57">
        <f t="shared" si="0"/>
        <v>4.8738079382601572E-2</v>
      </c>
      <c r="H57" s="104">
        <v>44469</v>
      </c>
      <c r="I57" s="24">
        <v>4307.5387507897103</v>
      </c>
      <c r="J57" s="105">
        <f t="shared" si="2"/>
        <v>6.9143405229560986E-2</v>
      </c>
      <c r="K57" s="104">
        <v>44469</v>
      </c>
      <c r="L57" s="24">
        <v>144.54</v>
      </c>
      <c r="M57" s="105">
        <f t="shared" si="3"/>
        <v>0.11353258613532584</v>
      </c>
    </row>
    <row r="58" spans="1:13" x14ac:dyDescent="0.15">
      <c r="A58" s="103">
        <v>44439</v>
      </c>
      <c r="B58" s="22">
        <v>4522.6801193645497</v>
      </c>
      <c r="C58" s="105">
        <f t="shared" si="1"/>
        <v>-4.7569441768317539E-2</v>
      </c>
      <c r="F58">
        <f t="shared" si="0"/>
        <v>-2.8577173623603323E-2</v>
      </c>
      <c r="H58" s="103">
        <v>44439</v>
      </c>
      <c r="I58" s="22">
        <v>4522.6801193645497</v>
      </c>
      <c r="J58" s="105">
        <f t="shared" si="2"/>
        <v>-4.7569441768317539E-2</v>
      </c>
      <c r="K58" s="103">
        <v>44439</v>
      </c>
      <c r="L58" s="22">
        <v>153.66999999999999</v>
      </c>
      <c r="M58" s="105">
        <f t="shared" si="3"/>
        <v>-5.94130279169649E-2</v>
      </c>
    </row>
    <row r="59" spans="1:13" x14ac:dyDescent="0.15">
      <c r="A59" s="104">
        <v>44407</v>
      </c>
      <c r="B59" s="24">
        <v>4395.2639721631804</v>
      </c>
      <c r="C59" s="105">
        <f t="shared" si="1"/>
        <v>2.8989418612475275E-2</v>
      </c>
      <c r="F59">
        <f t="shared" si="0"/>
        <v>-2.2494916723519175E-2</v>
      </c>
      <c r="H59" s="104">
        <v>44407</v>
      </c>
      <c r="I59" s="24">
        <v>4395.2639721631804</v>
      </c>
      <c r="J59" s="105">
        <f t="shared" si="2"/>
        <v>2.8989418612475275E-2</v>
      </c>
      <c r="K59" s="104">
        <v>44407</v>
      </c>
      <c r="L59" s="24">
        <v>161.54</v>
      </c>
      <c r="M59" s="105">
        <f t="shared" si="3"/>
        <v>-4.8718583632536866E-2</v>
      </c>
    </row>
    <row r="60" spans="1:13" x14ac:dyDescent="0.15">
      <c r="A60" s="103">
        <v>44377</v>
      </c>
      <c r="B60" s="22">
        <v>4297.4966318818797</v>
      </c>
      <c r="C60" s="105">
        <f t="shared" si="1"/>
        <v>2.2749835231048971E-2</v>
      </c>
      <c r="F60">
        <f t="shared" si="0"/>
        <v>-2.1969926516093398E-2</v>
      </c>
      <c r="H60" s="103">
        <v>44377</v>
      </c>
      <c r="I60" s="22">
        <v>4297.4966318818797</v>
      </c>
      <c r="J60" s="105">
        <f t="shared" si="2"/>
        <v>2.2749835231048971E-2</v>
      </c>
      <c r="K60" s="103">
        <v>44377</v>
      </c>
      <c r="L60" s="22">
        <v>155.66</v>
      </c>
      <c r="M60" s="105">
        <f t="shared" si="3"/>
        <v>3.7774637029423075E-2</v>
      </c>
    </row>
    <row r="61" spans="1:13" x14ac:dyDescent="0.15">
      <c r="A61" s="104">
        <v>44344</v>
      </c>
      <c r="B61" s="24">
        <v>4204.1105456536397</v>
      </c>
      <c r="C61" s="105">
        <f t="shared" si="1"/>
        <v>2.221304250069871E-2</v>
      </c>
      <c r="F61">
        <f t="shared" si="0"/>
        <v>-5.4704655128598621E-3</v>
      </c>
      <c r="H61" s="104">
        <v>44344</v>
      </c>
      <c r="I61" s="24">
        <v>4204.1105456536397</v>
      </c>
      <c r="J61" s="105">
        <f t="shared" si="2"/>
        <v>2.221304250069871E-2</v>
      </c>
      <c r="K61" s="104">
        <v>44344</v>
      </c>
      <c r="L61" s="24">
        <v>155.47999999999999</v>
      </c>
      <c r="M61" s="105">
        <f t="shared" si="3"/>
        <v>1.1577051710831416E-3</v>
      </c>
    </row>
    <row r="62" spans="1:13" x14ac:dyDescent="0.15">
      <c r="A62" s="103">
        <v>44316</v>
      </c>
      <c r="B62" s="22">
        <v>4181.1748954407904</v>
      </c>
      <c r="C62" s="105">
        <f t="shared" si="1"/>
        <v>5.4854558315316441E-3</v>
      </c>
      <c r="F62">
        <f t="shared" si="0"/>
        <v>-5.10979370691209E-2</v>
      </c>
      <c r="H62" s="103">
        <v>44316</v>
      </c>
      <c r="I62" s="22">
        <v>4181.1748954407904</v>
      </c>
      <c r="J62" s="105">
        <f t="shared" si="2"/>
        <v>5.4854558315316441E-3</v>
      </c>
      <c r="K62" s="103">
        <v>44316</v>
      </c>
      <c r="L62" s="22">
        <v>153.22999999999999</v>
      </c>
      <c r="M62" s="105">
        <f t="shared" si="3"/>
        <v>1.4683808653657902E-2</v>
      </c>
    </row>
    <row r="63" spans="1:13" x14ac:dyDescent="0.15">
      <c r="A63" s="104">
        <v>44286</v>
      </c>
      <c r="B63" s="24">
        <v>3972.8922084302499</v>
      </c>
      <c r="C63" s="105">
        <f t="shared" si="1"/>
        <v>5.2425959750072387E-2</v>
      </c>
      <c r="F63">
        <f t="shared" si="0"/>
        <v>-4.1563430274700754E-2</v>
      </c>
      <c r="H63" s="104">
        <v>44286</v>
      </c>
      <c r="I63" s="24">
        <v>3972.8922084302499</v>
      </c>
      <c r="J63" s="105">
        <f t="shared" si="2"/>
        <v>5.2425959750072387E-2</v>
      </c>
      <c r="K63" s="104">
        <v>44286</v>
      </c>
      <c r="L63" s="24">
        <v>127.06</v>
      </c>
      <c r="M63" s="105">
        <f t="shared" si="3"/>
        <v>0.20596568550291192</v>
      </c>
    </row>
    <row r="64" spans="1:13" x14ac:dyDescent="0.15">
      <c r="A64" s="103">
        <v>44253</v>
      </c>
      <c r="B64" s="22">
        <v>3811.1497495982799</v>
      </c>
      <c r="C64" s="105">
        <f t="shared" si="1"/>
        <v>4.2439281964456711E-2</v>
      </c>
      <c r="F64">
        <f t="shared" si="0"/>
        <v>-2.5756109785433901E-2</v>
      </c>
      <c r="H64" s="103">
        <v>44253</v>
      </c>
      <c r="I64" s="22">
        <v>3811.1497495982799</v>
      </c>
      <c r="J64" s="105">
        <f t="shared" si="2"/>
        <v>4.2439281964456711E-2</v>
      </c>
      <c r="K64" s="103">
        <v>44253</v>
      </c>
      <c r="L64" s="22">
        <v>127.15</v>
      </c>
      <c r="M64" s="105">
        <f t="shared" si="3"/>
        <v>-7.0782540306727024E-4</v>
      </c>
    </row>
    <row r="65" spans="1:13" x14ac:dyDescent="0.15">
      <c r="A65" s="104">
        <v>44225</v>
      </c>
      <c r="B65" s="24">
        <v>3714.24268977664</v>
      </c>
      <c r="C65" s="105">
        <f t="shared" si="1"/>
        <v>2.6090664481449789E-2</v>
      </c>
      <c r="F65">
        <f t="shared" si="0"/>
        <v>1.1198783731458588E-2</v>
      </c>
      <c r="H65" s="104">
        <v>44225</v>
      </c>
      <c r="I65" s="24">
        <v>3714.24268977664</v>
      </c>
      <c r="J65" s="105">
        <f t="shared" si="2"/>
        <v>2.6090664481449789E-2</v>
      </c>
      <c r="K65" s="104">
        <v>44225</v>
      </c>
      <c r="L65" s="24">
        <v>119.64</v>
      </c>
      <c r="M65" s="105">
        <f t="shared" si="3"/>
        <v>6.2771648278167877E-2</v>
      </c>
    </row>
    <row r="66" spans="1:13" x14ac:dyDescent="0.15">
      <c r="A66" s="103">
        <v>44196</v>
      </c>
      <c r="B66" s="22">
        <v>3756.0714689572001</v>
      </c>
      <c r="C66" s="105">
        <f t="shared" si="1"/>
        <v>-1.1136310777433916E-2</v>
      </c>
      <c r="F66">
        <f t="shared" si="0"/>
        <v>-3.6448441093298728E-2</v>
      </c>
      <c r="H66" s="103">
        <v>44196</v>
      </c>
      <c r="I66" s="22">
        <v>3756.0714689572001</v>
      </c>
      <c r="J66" s="105">
        <f t="shared" si="2"/>
        <v>-1.1136310777433916E-2</v>
      </c>
      <c r="K66" s="103">
        <v>44196</v>
      </c>
      <c r="L66" s="22">
        <v>105.71</v>
      </c>
      <c r="M66" s="105">
        <f t="shared" si="3"/>
        <v>0.13177561252483216</v>
      </c>
    </row>
    <row r="67" spans="1:13" x14ac:dyDescent="0.15">
      <c r="A67" s="104">
        <v>44165</v>
      </c>
      <c r="B67" s="24">
        <v>3621.6334306946501</v>
      </c>
      <c r="C67" s="105">
        <f t="shared" si="1"/>
        <v>3.712082982312321E-2</v>
      </c>
      <c r="F67">
        <f t="shared" ref="F67:F130" si="4">LN(B68/B67)</f>
        <v>-0.10214767512940306</v>
      </c>
      <c r="H67" s="104">
        <v>44165</v>
      </c>
      <c r="I67" s="24">
        <v>3621.6334306946501</v>
      </c>
      <c r="J67" s="105">
        <f t="shared" si="2"/>
        <v>3.712082982312321E-2</v>
      </c>
      <c r="K67" s="104">
        <v>44165</v>
      </c>
      <c r="L67" s="24">
        <v>87.27</v>
      </c>
      <c r="M67" s="105">
        <f t="shared" si="3"/>
        <v>0.21129826973759594</v>
      </c>
    </row>
    <row r="68" spans="1:13" x14ac:dyDescent="0.15">
      <c r="A68" s="103">
        <v>44134</v>
      </c>
      <c r="B68" s="22">
        <v>3269.9590859407499</v>
      </c>
      <c r="C68" s="105">
        <f t="shared" ref="C68:C131" si="5">(B67-B68)/B68</f>
        <v>0.10754701680089228</v>
      </c>
      <c r="F68">
        <f t="shared" si="4"/>
        <v>2.8055658845954262E-2</v>
      </c>
      <c r="H68" s="103">
        <v>44134</v>
      </c>
      <c r="I68" s="22">
        <v>3269.9590859407499</v>
      </c>
      <c r="J68" s="105">
        <f t="shared" ref="J68:J131" si="6">(I67-I68)/I68</f>
        <v>0.10754701680089228</v>
      </c>
      <c r="K68" s="103">
        <v>44134</v>
      </c>
      <c r="L68" s="22">
        <v>84.08</v>
      </c>
      <c r="M68" s="105">
        <f t="shared" ref="M68:M131" si="7">(L67-L68)/L68</f>
        <v>3.7940057088487127E-2</v>
      </c>
    </row>
    <row r="69" spans="1:13" x14ac:dyDescent="0.15">
      <c r="A69" s="104">
        <v>44104</v>
      </c>
      <c r="B69" s="24">
        <v>3362.9989876496602</v>
      </c>
      <c r="C69" s="105">
        <f t="shared" si="5"/>
        <v>-2.766575370691212E-2</v>
      </c>
      <c r="F69">
        <f t="shared" si="4"/>
        <v>4.0017981531901489E-2</v>
      </c>
      <c r="H69" s="104">
        <v>44104</v>
      </c>
      <c r="I69" s="24">
        <v>3362.9989876496602</v>
      </c>
      <c r="J69" s="105">
        <f t="shared" si="6"/>
        <v>-2.766575370691212E-2</v>
      </c>
      <c r="K69" s="104">
        <v>44104</v>
      </c>
      <c r="L69" s="24">
        <v>74.33</v>
      </c>
      <c r="M69" s="105">
        <f t="shared" si="7"/>
        <v>0.13117180142607293</v>
      </c>
    </row>
    <row r="70" spans="1:13" x14ac:dyDescent="0.15">
      <c r="A70" s="103">
        <v>44074</v>
      </c>
      <c r="B70" s="22">
        <v>3500.3085202872999</v>
      </c>
      <c r="C70" s="105">
        <f t="shared" si="5"/>
        <v>-3.922783715829984E-2</v>
      </c>
      <c r="F70">
        <f t="shared" si="4"/>
        <v>-6.7717187428810333E-2</v>
      </c>
      <c r="H70" s="103">
        <v>44074</v>
      </c>
      <c r="I70" s="22">
        <v>3500.3085202872999</v>
      </c>
      <c r="J70" s="105">
        <f t="shared" si="6"/>
        <v>-3.922783715829984E-2</v>
      </c>
      <c r="K70" s="103">
        <v>44074</v>
      </c>
      <c r="L70" s="22">
        <v>100.81</v>
      </c>
      <c r="M70" s="105">
        <f t="shared" si="7"/>
        <v>-0.26267235393314159</v>
      </c>
    </row>
    <row r="71" spans="1:13" x14ac:dyDescent="0.15">
      <c r="A71" s="104">
        <v>44043</v>
      </c>
      <c r="B71" s="24">
        <v>3271.1248802632599</v>
      </c>
      <c r="C71" s="105">
        <f t="shared" si="5"/>
        <v>7.0062638515223929E-2</v>
      </c>
      <c r="F71">
        <f t="shared" si="4"/>
        <v>-5.3639841586782415E-2</v>
      </c>
      <c r="H71" s="104">
        <v>44043</v>
      </c>
      <c r="I71" s="24">
        <v>3271.1248802632599</v>
      </c>
      <c r="J71" s="105">
        <f t="shared" si="6"/>
        <v>7.0062638515223929E-2</v>
      </c>
      <c r="K71" s="104">
        <v>44043</v>
      </c>
      <c r="L71" s="24">
        <v>89</v>
      </c>
      <c r="M71" s="105">
        <f t="shared" si="7"/>
        <v>0.13269662921348316</v>
      </c>
    </row>
    <row r="72" spans="1:13" x14ac:dyDescent="0.15">
      <c r="A72" s="103">
        <v>44012</v>
      </c>
      <c r="B72" s="22">
        <v>3100.2851286595401</v>
      </c>
      <c r="C72" s="105">
        <f t="shared" si="5"/>
        <v>5.5104528942983143E-2</v>
      </c>
      <c r="F72">
        <f t="shared" si="4"/>
        <v>-1.822140128735595E-2</v>
      </c>
      <c r="H72" s="103">
        <v>44012</v>
      </c>
      <c r="I72" s="22">
        <v>3100.2851286595401</v>
      </c>
      <c r="J72" s="105">
        <f t="shared" si="6"/>
        <v>5.5104528942983143E-2</v>
      </c>
      <c r="K72" s="103">
        <v>44012</v>
      </c>
      <c r="L72" s="22">
        <v>82.61</v>
      </c>
      <c r="M72" s="105">
        <f t="shared" si="7"/>
        <v>7.7351410240890942E-2</v>
      </c>
    </row>
    <row r="73" spans="1:13" x14ac:dyDescent="0.15">
      <c r="A73" s="104">
        <v>43980</v>
      </c>
      <c r="B73" s="24">
        <v>3044.3051548697599</v>
      </c>
      <c r="C73" s="105">
        <f t="shared" si="5"/>
        <v>1.838842393977258E-2</v>
      </c>
      <c r="F73">
        <f t="shared" si="4"/>
        <v>-4.4284718547517199E-2</v>
      </c>
      <c r="H73" s="104">
        <v>43980</v>
      </c>
      <c r="I73" s="24">
        <v>3044.3051548697599</v>
      </c>
      <c r="J73" s="105">
        <f t="shared" si="6"/>
        <v>1.838842393977258E-2</v>
      </c>
      <c r="K73" s="104">
        <v>43980</v>
      </c>
      <c r="L73" s="24">
        <v>72.11</v>
      </c>
      <c r="M73" s="105">
        <f t="shared" si="7"/>
        <v>0.14561087227846345</v>
      </c>
    </row>
    <row r="74" spans="1:13" x14ac:dyDescent="0.15">
      <c r="A74" s="103">
        <v>43951</v>
      </c>
      <c r="B74" s="22">
        <v>2912.4305246607</v>
      </c>
      <c r="C74" s="105">
        <f t="shared" si="5"/>
        <v>4.5279923106293966E-2</v>
      </c>
      <c r="F74">
        <f t="shared" si="4"/>
        <v>-0.11942078235768447</v>
      </c>
      <c r="H74" s="103">
        <v>43951</v>
      </c>
      <c r="I74" s="22">
        <v>2912.4305246607</v>
      </c>
      <c r="J74" s="105">
        <f t="shared" si="6"/>
        <v>4.5279923106293966E-2</v>
      </c>
      <c r="K74" s="103">
        <v>43951</v>
      </c>
      <c r="L74" s="22">
        <v>51.01</v>
      </c>
      <c r="M74" s="105">
        <f t="shared" si="7"/>
        <v>0.41364438345422472</v>
      </c>
    </row>
    <row r="75" spans="1:13" x14ac:dyDescent="0.15">
      <c r="A75" s="104">
        <v>43921</v>
      </c>
      <c r="B75" s="24">
        <v>2584.59075993431</v>
      </c>
      <c r="C75" s="105">
        <f t="shared" si="5"/>
        <v>0.12684397460846855</v>
      </c>
      <c r="F75">
        <f t="shared" si="4"/>
        <v>0.13366872172159525</v>
      </c>
      <c r="H75" s="104">
        <v>43921</v>
      </c>
      <c r="I75" s="24">
        <v>2584.59075993431</v>
      </c>
      <c r="J75" s="105">
        <f t="shared" si="6"/>
        <v>0.12684397460846855</v>
      </c>
      <c r="K75" s="104">
        <v>43921</v>
      </c>
      <c r="L75" s="24">
        <v>42</v>
      </c>
      <c r="M75" s="105">
        <f t="shared" si="7"/>
        <v>0.21452380952380948</v>
      </c>
    </row>
    <row r="76" spans="1:13" x14ac:dyDescent="0.15">
      <c r="A76" s="103">
        <v>43889</v>
      </c>
      <c r="B76" s="22">
        <v>2954.2236843686301</v>
      </c>
      <c r="C76" s="105">
        <f t="shared" si="5"/>
        <v>-0.12512015470938084</v>
      </c>
      <c r="F76">
        <f t="shared" si="4"/>
        <v>8.7857131784335296E-2</v>
      </c>
      <c r="H76" s="103">
        <v>43889</v>
      </c>
      <c r="I76" s="22">
        <v>2954.2236843686301</v>
      </c>
      <c r="J76" s="105">
        <f t="shared" si="6"/>
        <v>-0.12512015470938084</v>
      </c>
      <c r="K76" s="103">
        <v>43889</v>
      </c>
      <c r="L76" s="22">
        <v>63.4</v>
      </c>
      <c r="M76" s="105">
        <f t="shared" si="7"/>
        <v>-0.33753943217665616</v>
      </c>
    </row>
    <row r="77" spans="1:13" x14ac:dyDescent="0.15">
      <c r="A77" s="104">
        <v>43861</v>
      </c>
      <c r="B77" s="24">
        <v>3225.5163164640899</v>
      </c>
      <c r="C77" s="105">
        <f t="shared" si="5"/>
        <v>-8.4108280807848809E-2</v>
      </c>
      <c r="F77">
        <f t="shared" si="4"/>
        <v>1.6311621850359974E-3</v>
      </c>
      <c r="H77" s="104">
        <v>43861</v>
      </c>
      <c r="I77" s="24">
        <v>3225.5163164640899</v>
      </c>
      <c r="J77" s="105">
        <f t="shared" si="6"/>
        <v>-8.4108280807848809E-2</v>
      </c>
      <c r="K77" s="104">
        <v>43861</v>
      </c>
      <c r="L77" s="24">
        <v>65.819999999999993</v>
      </c>
      <c r="M77" s="105">
        <f t="shared" si="7"/>
        <v>-3.6766940139775064E-2</v>
      </c>
    </row>
    <row r="78" spans="1:13" x14ac:dyDescent="0.15">
      <c r="A78" s="103">
        <v>43830</v>
      </c>
      <c r="B78" s="22">
        <v>3230.7819500904302</v>
      </c>
      <c r="C78" s="105">
        <f t="shared" si="5"/>
        <v>-1.6298325630403332E-3</v>
      </c>
      <c r="F78">
        <f t="shared" si="4"/>
        <v>-2.8189144766637902E-2</v>
      </c>
      <c r="H78" s="103">
        <v>43830</v>
      </c>
      <c r="I78" s="22">
        <v>3230.7819500904302</v>
      </c>
      <c r="J78" s="105">
        <f t="shared" si="6"/>
        <v>-1.6298325630403332E-3</v>
      </c>
      <c r="K78" s="103">
        <v>43830</v>
      </c>
      <c r="L78" s="22">
        <v>69.569999999999993</v>
      </c>
      <c r="M78" s="105">
        <f t="shared" si="7"/>
        <v>-5.390254420008625E-2</v>
      </c>
    </row>
    <row r="79" spans="1:13" x14ac:dyDescent="0.15">
      <c r="A79" s="104">
        <v>43798</v>
      </c>
      <c r="B79" s="24">
        <v>3140.98062770254</v>
      </c>
      <c r="C79" s="105">
        <f t="shared" si="5"/>
        <v>2.8590218480135956E-2</v>
      </c>
      <c r="F79">
        <f t="shared" si="4"/>
        <v>-3.3479031284219342E-2</v>
      </c>
      <c r="H79" s="104">
        <v>43798</v>
      </c>
      <c r="I79" s="24">
        <v>3140.98062770254</v>
      </c>
      <c r="J79" s="105">
        <f t="shared" si="6"/>
        <v>2.8590218480135956E-2</v>
      </c>
      <c r="K79" s="104">
        <v>43798</v>
      </c>
      <c r="L79" s="24">
        <v>65.930000000000007</v>
      </c>
      <c r="M79" s="105">
        <f t="shared" si="7"/>
        <v>5.5210071287729194E-2</v>
      </c>
    </row>
    <row r="80" spans="1:13" x14ac:dyDescent="0.15">
      <c r="A80" s="103">
        <v>43769</v>
      </c>
      <c r="B80" s="22">
        <v>3037.5644352599602</v>
      </c>
      <c r="C80" s="105">
        <f t="shared" si="5"/>
        <v>3.4045760887284442E-2</v>
      </c>
      <c r="F80">
        <f t="shared" si="4"/>
        <v>-2.0228196246008918E-2</v>
      </c>
      <c r="H80" s="103">
        <v>43769</v>
      </c>
      <c r="I80" s="22">
        <v>3037.5644352599602</v>
      </c>
      <c r="J80" s="105">
        <f t="shared" si="6"/>
        <v>3.4045760887284442E-2</v>
      </c>
      <c r="K80" s="103">
        <v>43769</v>
      </c>
      <c r="L80" s="22">
        <v>60.94</v>
      </c>
      <c r="M80" s="105">
        <f t="shared" si="7"/>
        <v>8.1883820150968317E-2</v>
      </c>
    </row>
    <row r="81" spans="1:13" x14ac:dyDescent="0.15">
      <c r="A81" s="104">
        <v>43738</v>
      </c>
      <c r="B81" s="24">
        <v>2976.73727174433</v>
      </c>
      <c r="C81" s="105">
        <f t="shared" si="5"/>
        <v>2.043417270748462E-2</v>
      </c>
      <c r="F81">
        <f t="shared" si="4"/>
        <v>-1.7034963471430402E-2</v>
      </c>
      <c r="H81" s="104">
        <v>43738</v>
      </c>
      <c r="I81" s="24">
        <v>2976.73727174433</v>
      </c>
      <c r="J81" s="105">
        <f t="shared" si="6"/>
        <v>2.043417270748462E-2</v>
      </c>
      <c r="K81" s="104">
        <v>43738</v>
      </c>
      <c r="L81" s="24">
        <v>62.24</v>
      </c>
      <c r="M81" s="105">
        <f t="shared" si="7"/>
        <v>-2.0886889460154309E-2</v>
      </c>
    </row>
    <row r="82" spans="1:13" x14ac:dyDescent="0.15">
      <c r="A82" s="103">
        <v>43707</v>
      </c>
      <c r="B82" s="22">
        <v>2926.4581286088801</v>
      </c>
      <c r="C82" s="105">
        <f t="shared" si="5"/>
        <v>1.7180885878367431E-2</v>
      </c>
      <c r="F82">
        <f t="shared" si="4"/>
        <v>1.8257562828700804E-2</v>
      </c>
      <c r="H82" s="103">
        <v>43707</v>
      </c>
      <c r="I82" s="22">
        <v>2926.4581286088801</v>
      </c>
      <c r="J82" s="105">
        <f t="shared" si="6"/>
        <v>1.7180885878367431E-2</v>
      </c>
      <c r="K82" s="103">
        <v>43707</v>
      </c>
      <c r="L82" s="22">
        <v>72.040000000000006</v>
      </c>
      <c r="M82" s="105">
        <f t="shared" si="7"/>
        <v>-0.13603553581343703</v>
      </c>
    </row>
    <row r="83" spans="1:13" x14ac:dyDescent="0.15">
      <c r="A83" s="104">
        <v>43677</v>
      </c>
      <c r="B83" s="24">
        <v>2980.3788544642698</v>
      </c>
      <c r="C83" s="105">
        <f t="shared" si="5"/>
        <v>-1.8091903240630827E-2</v>
      </c>
      <c r="F83">
        <f t="shared" si="4"/>
        <v>-1.3042166421304863E-2</v>
      </c>
      <c r="H83" s="104">
        <v>43677</v>
      </c>
      <c r="I83" s="24">
        <v>2980.3788544642698</v>
      </c>
      <c r="J83" s="105">
        <f t="shared" si="6"/>
        <v>-1.8091903240630827E-2</v>
      </c>
      <c r="K83" s="104">
        <v>43677</v>
      </c>
      <c r="L83" s="24">
        <v>80.08</v>
      </c>
      <c r="M83" s="105">
        <f t="shared" si="7"/>
        <v>-0.1003996003996003</v>
      </c>
    </row>
    <row r="84" spans="1:13" x14ac:dyDescent="0.15">
      <c r="A84" s="103">
        <v>43644</v>
      </c>
      <c r="B84" s="22">
        <v>2941.76063745793</v>
      </c>
      <c r="C84" s="105">
        <f t="shared" si="5"/>
        <v>1.3127586423792475E-2</v>
      </c>
      <c r="F84">
        <f t="shared" si="4"/>
        <v>-6.6657487510445576E-2</v>
      </c>
      <c r="H84" s="103">
        <v>43644</v>
      </c>
      <c r="I84" s="22">
        <v>2941.76063745793</v>
      </c>
      <c r="J84" s="105">
        <f t="shared" si="6"/>
        <v>1.3127586423792475E-2</v>
      </c>
      <c r="K84" s="103">
        <v>43644</v>
      </c>
      <c r="L84" s="22">
        <v>82.51</v>
      </c>
      <c r="M84" s="105">
        <f t="shared" si="7"/>
        <v>-2.9450975639316528E-2</v>
      </c>
    </row>
    <row r="85" spans="1:13" x14ac:dyDescent="0.15">
      <c r="A85" s="104">
        <v>43616</v>
      </c>
      <c r="B85" s="24">
        <v>2752.0628861321802</v>
      </c>
      <c r="C85" s="105">
        <f t="shared" si="5"/>
        <v>6.8929293833236441E-2</v>
      </c>
      <c r="F85">
        <f t="shared" si="4"/>
        <v>6.804014118793425E-2</v>
      </c>
      <c r="H85" s="104">
        <v>43616</v>
      </c>
      <c r="I85" s="24">
        <v>2752.0628861321802</v>
      </c>
      <c r="J85" s="105">
        <f t="shared" si="6"/>
        <v>6.8929293833236441E-2</v>
      </c>
      <c r="K85" s="104">
        <v>43616</v>
      </c>
      <c r="L85" s="24">
        <v>67.02</v>
      </c>
      <c r="M85" s="105">
        <f t="shared" si="7"/>
        <v>0.23112503730229797</v>
      </c>
    </row>
    <row r="86" spans="1:13" x14ac:dyDescent="0.15">
      <c r="A86" s="103">
        <v>43585</v>
      </c>
      <c r="B86" s="22">
        <v>2945.8308868458098</v>
      </c>
      <c r="C86" s="105">
        <f t="shared" si="5"/>
        <v>-6.5777027995352053E-2</v>
      </c>
      <c r="F86">
        <f t="shared" si="4"/>
        <v>-3.8560701149693635E-2</v>
      </c>
      <c r="H86" s="103">
        <v>43585</v>
      </c>
      <c r="I86" s="22">
        <v>2945.8308868458098</v>
      </c>
      <c r="J86" s="105">
        <f t="shared" si="6"/>
        <v>-6.5777027995352053E-2</v>
      </c>
      <c r="K86" s="103">
        <v>43585</v>
      </c>
      <c r="L86" s="22">
        <v>77.599999999999994</v>
      </c>
      <c r="M86" s="105">
        <f t="shared" si="7"/>
        <v>-0.136340206185567</v>
      </c>
    </row>
    <row r="87" spans="1:13" x14ac:dyDescent="0.15">
      <c r="A87" s="104">
        <v>43553</v>
      </c>
      <c r="B87" s="24">
        <v>2834.3998195751501</v>
      </c>
      <c r="C87" s="105">
        <f t="shared" si="5"/>
        <v>3.9313813986681018E-2</v>
      </c>
      <c r="F87">
        <f t="shared" si="4"/>
        <v>-1.7764990293016047E-2</v>
      </c>
      <c r="H87" s="104">
        <v>43553</v>
      </c>
      <c r="I87" s="24">
        <v>2834.3998195751501</v>
      </c>
      <c r="J87" s="105">
        <f t="shared" si="6"/>
        <v>3.9313813986681018E-2</v>
      </c>
      <c r="K87" s="104">
        <v>43553</v>
      </c>
      <c r="L87" s="24">
        <v>69.89</v>
      </c>
      <c r="M87" s="105">
        <f t="shared" si="7"/>
        <v>0.11031621118901121</v>
      </c>
    </row>
    <row r="88" spans="1:13" x14ac:dyDescent="0.15">
      <c r="A88" s="103">
        <v>43524</v>
      </c>
      <c r="B88" s="22">
        <v>2784.4913585212798</v>
      </c>
      <c r="C88" s="105">
        <f t="shared" si="5"/>
        <v>1.7923726321195856E-2</v>
      </c>
      <c r="F88">
        <f t="shared" si="4"/>
        <v>-2.9295866496210663E-2</v>
      </c>
      <c r="H88" s="103">
        <v>43524</v>
      </c>
      <c r="I88" s="22">
        <v>2784.4913585212798</v>
      </c>
      <c r="J88" s="105">
        <f t="shared" si="6"/>
        <v>1.7923726321195856E-2</v>
      </c>
      <c r="K88" s="103">
        <v>43524</v>
      </c>
      <c r="L88" s="22">
        <v>63.38</v>
      </c>
      <c r="M88" s="105">
        <f t="shared" si="7"/>
        <v>0.10271378983906591</v>
      </c>
    </row>
    <row r="89" spans="1:13" x14ac:dyDescent="0.15">
      <c r="A89" s="104">
        <v>43496</v>
      </c>
      <c r="B89" s="24">
        <v>2704.10057970256</v>
      </c>
      <c r="C89" s="105">
        <f t="shared" si="5"/>
        <v>2.9729211783817031E-2</v>
      </c>
      <c r="F89">
        <f t="shared" si="4"/>
        <v>-7.5743493077806548E-2</v>
      </c>
      <c r="H89" s="104">
        <v>43496</v>
      </c>
      <c r="I89" s="24">
        <v>2704.10057970256</v>
      </c>
      <c r="J89" s="105">
        <f t="shared" si="6"/>
        <v>2.9729211783817031E-2</v>
      </c>
      <c r="K89" s="104">
        <v>43496</v>
      </c>
      <c r="L89" s="24">
        <v>59.33</v>
      </c>
      <c r="M89" s="105">
        <f t="shared" si="7"/>
        <v>6.8262261924827317E-2</v>
      </c>
    </row>
    <row r="90" spans="1:13" x14ac:dyDescent="0.15">
      <c r="A90" s="103">
        <v>43465</v>
      </c>
      <c r="B90" s="22">
        <v>2506.8471826272198</v>
      </c>
      <c r="C90" s="105">
        <f t="shared" si="5"/>
        <v>7.8685848280793572E-2</v>
      </c>
      <c r="F90">
        <f t="shared" si="4"/>
        <v>9.6267953125269645E-2</v>
      </c>
      <c r="H90" s="103">
        <v>43465</v>
      </c>
      <c r="I90" s="22">
        <v>2506.8471826272198</v>
      </c>
      <c r="J90" s="105">
        <f t="shared" si="6"/>
        <v>7.8685848280793572E-2</v>
      </c>
      <c r="K90" s="103">
        <v>43465</v>
      </c>
      <c r="L90" s="22">
        <v>58.87</v>
      </c>
      <c r="M90" s="105">
        <f t="shared" si="7"/>
        <v>7.8138270766094937E-3</v>
      </c>
    </row>
    <row r="91" spans="1:13" x14ac:dyDescent="0.15">
      <c r="A91" s="104">
        <v>43434</v>
      </c>
      <c r="B91" s="24">
        <v>2760.1742565631598</v>
      </c>
      <c r="C91" s="105">
        <f t="shared" si="5"/>
        <v>-9.177937709315899E-2</v>
      </c>
      <c r="F91">
        <f t="shared" si="4"/>
        <v>-1.7701693334277017E-2</v>
      </c>
      <c r="H91" s="104">
        <v>43434</v>
      </c>
      <c r="I91" s="24">
        <v>2760.1742565631598</v>
      </c>
      <c r="J91" s="105">
        <f t="shared" si="6"/>
        <v>-9.177937709315899E-2</v>
      </c>
      <c r="K91" s="104">
        <v>43434</v>
      </c>
      <c r="L91" s="24">
        <v>63.71</v>
      </c>
      <c r="M91" s="105">
        <f t="shared" si="7"/>
        <v>-7.5969235598807153E-2</v>
      </c>
    </row>
    <row r="92" spans="1:13" x14ac:dyDescent="0.15">
      <c r="A92" s="103">
        <v>43404</v>
      </c>
      <c r="B92" s="22">
        <v>2711.7444081047302</v>
      </c>
      <c r="C92" s="105">
        <f t="shared" si="5"/>
        <v>1.7859296884206666E-2</v>
      </c>
      <c r="F92">
        <f t="shared" si="4"/>
        <v>7.1927085152220904E-2</v>
      </c>
      <c r="H92" s="103">
        <v>43404</v>
      </c>
      <c r="I92" s="22">
        <v>2711.7444081047302</v>
      </c>
      <c r="J92" s="105">
        <f t="shared" si="6"/>
        <v>1.7859296884206666E-2</v>
      </c>
      <c r="K92" s="103">
        <v>43404</v>
      </c>
      <c r="L92" s="22">
        <v>53.73</v>
      </c>
      <c r="M92" s="105">
        <f t="shared" si="7"/>
        <v>0.18574353247720091</v>
      </c>
    </row>
    <row r="93" spans="1:13" x14ac:dyDescent="0.15">
      <c r="A93" s="104">
        <v>43371</v>
      </c>
      <c r="B93" s="24">
        <v>2913.97813988603</v>
      </c>
      <c r="C93" s="105">
        <f t="shared" si="5"/>
        <v>-6.9401252196493665E-2</v>
      </c>
      <c r="F93">
        <f t="shared" si="4"/>
        <v>-4.285268979958911E-3</v>
      </c>
      <c r="H93" s="104">
        <v>43371</v>
      </c>
      <c r="I93" s="24">
        <v>2913.97813988603</v>
      </c>
      <c r="J93" s="105">
        <f t="shared" si="6"/>
        <v>-6.9401252196493665E-2</v>
      </c>
      <c r="K93" s="104">
        <v>43371</v>
      </c>
      <c r="L93" s="24">
        <v>70.05</v>
      </c>
      <c r="M93" s="105">
        <f t="shared" si="7"/>
        <v>-0.23297644539614562</v>
      </c>
    </row>
    <row r="94" spans="1:13" x14ac:dyDescent="0.15">
      <c r="A94" s="103">
        <v>43343</v>
      </c>
      <c r="B94" s="22">
        <v>2901.5176770405201</v>
      </c>
      <c r="C94" s="105">
        <f t="shared" si="5"/>
        <v>4.2944638745814282E-3</v>
      </c>
      <c r="F94">
        <f t="shared" si="4"/>
        <v>-2.9814007130260875E-2</v>
      </c>
      <c r="H94" s="103">
        <v>43343</v>
      </c>
      <c r="I94" s="22">
        <v>2901.5176770405201</v>
      </c>
      <c r="J94" s="105">
        <f t="shared" si="6"/>
        <v>4.2944638745814282E-3</v>
      </c>
      <c r="K94" s="103">
        <v>43343</v>
      </c>
      <c r="L94" s="22">
        <v>66.05</v>
      </c>
      <c r="M94" s="105">
        <f t="shared" si="7"/>
        <v>6.0560181680545042E-2</v>
      </c>
    </row>
    <row r="95" spans="1:13" x14ac:dyDescent="0.15">
      <c r="A95" s="104">
        <v>43312</v>
      </c>
      <c r="B95" s="24">
        <v>2816.2886310911199</v>
      </c>
      <c r="C95" s="105">
        <f t="shared" si="5"/>
        <v>3.0262894579942162E-2</v>
      </c>
      <c r="F95">
        <f t="shared" si="4"/>
        <v>-3.5386219240244092E-2</v>
      </c>
      <c r="H95" s="104">
        <v>43312</v>
      </c>
      <c r="I95" s="24">
        <v>2816.2886310911199</v>
      </c>
      <c r="J95" s="105">
        <f t="shared" si="6"/>
        <v>3.0262894579942162E-2</v>
      </c>
      <c r="K95" s="104">
        <v>43312</v>
      </c>
      <c r="L95" s="24">
        <v>49.7</v>
      </c>
      <c r="M95" s="105">
        <f t="shared" si="7"/>
        <v>0.32897384305834998</v>
      </c>
    </row>
    <row r="96" spans="1:13" x14ac:dyDescent="0.15">
      <c r="A96" s="103">
        <v>43280</v>
      </c>
      <c r="B96" s="22">
        <v>2718.37346502223</v>
      </c>
      <c r="C96" s="105">
        <f t="shared" si="5"/>
        <v>3.6019762305945398E-2</v>
      </c>
      <c r="F96">
        <f t="shared" si="4"/>
        <v>-4.8302317338761811E-3</v>
      </c>
      <c r="H96" s="103">
        <v>43280</v>
      </c>
      <c r="I96" s="22">
        <v>2718.37346502223</v>
      </c>
      <c r="J96" s="105">
        <f t="shared" si="6"/>
        <v>3.6019762305945398E-2</v>
      </c>
      <c r="K96" s="103">
        <v>43280</v>
      </c>
      <c r="L96" s="22">
        <v>46.55</v>
      </c>
      <c r="M96" s="105">
        <f t="shared" si="7"/>
        <v>6.7669172932330948E-2</v>
      </c>
    </row>
    <row r="97" spans="1:13" x14ac:dyDescent="0.15">
      <c r="A97" s="104">
        <v>43251</v>
      </c>
      <c r="B97" s="24">
        <v>2705.2747516248301</v>
      </c>
      <c r="C97" s="105">
        <f t="shared" si="5"/>
        <v>4.8419161083481975E-3</v>
      </c>
      <c r="F97">
        <f t="shared" si="4"/>
        <v>-2.1380198742970889E-2</v>
      </c>
      <c r="H97" s="104">
        <v>43251</v>
      </c>
      <c r="I97" s="24">
        <v>2705.2747516248301</v>
      </c>
      <c r="J97" s="105">
        <f t="shared" si="6"/>
        <v>4.8419161083481975E-3</v>
      </c>
      <c r="K97" s="104">
        <v>43251</v>
      </c>
      <c r="L97" s="24">
        <v>39.75</v>
      </c>
      <c r="M97" s="105">
        <f t="shared" si="7"/>
        <v>0.17106918238993704</v>
      </c>
    </row>
    <row r="98" spans="1:13" x14ac:dyDescent="0.15">
      <c r="A98" s="103">
        <v>43220</v>
      </c>
      <c r="B98" s="22">
        <v>2648.0493647087201</v>
      </c>
      <c r="C98" s="105">
        <f t="shared" si="5"/>
        <v>2.1610392796587708E-2</v>
      </c>
      <c r="F98">
        <f t="shared" si="4"/>
        <v>-2.716390153466548E-3</v>
      </c>
      <c r="H98" s="103">
        <v>43220</v>
      </c>
      <c r="I98" s="22">
        <v>2648.0493647087201</v>
      </c>
      <c r="J98" s="105">
        <f t="shared" si="6"/>
        <v>2.1610392796587708E-2</v>
      </c>
      <c r="K98" s="103">
        <v>43220</v>
      </c>
      <c r="L98" s="22">
        <v>33.25</v>
      </c>
      <c r="M98" s="105">
        <f t="shared" si="7"/>
        <v>0.19548872180451127</v>
      </c>
    </row>
    <row r="99" spans="1:13" x14ac:dyDescent="0.15">
      <c r="A99" s="104">
        <v>43188</v>
      </c>
      <c r="B99" s="24">
        <v>2640.8659903292901</v>
      </c>
      <c r="C99" s="105">
        <f t="shared" si="5"/>
        <v>2.720082884074822E-3</v>
      </c>
      <c r="F99">
        <f t="shared" si="4"/>
        <v>2.7254229779756587E-2</v>
      </c>
      <c r="H99" s="104">
        <v>43188</v>
      </c>
      <c r="I99" s="24">
        <v>2640.8659903292901</v>
      </c>
      <c r="J99" s="105">
        <f t="shared" si="6"/>
        <v>2.720082884074822E-3</v>
      </c>
      <c r="K99" s="104">
        <v>43188</v>
      </c>
      <c r="L99" s="24">
        <v>34.9</v>
      </c>
      <c r="M99" s="105">
        <f t="shared" si="7"/>
        <v>-4.7277936962750677E-2</v>
      </c>
    </row>
    <row r="100" spans="1:13" x14ac:dyDescent="0.15">
      <c r="A100" s="103">
        <v>43159</v>
      </c>
      <c r="B100" s="22">
        <v>2713.8305387238102</v>
      </c>
      <c r="C100" s="105">
        <f t="shared" si="5"/>
        <v>-2.6886184436863164E-2</v>
      </c>
      <c r="F100">
        <f t="shared" si="4"/>
        <v>3.9725894940979369E-2</v>
      </c>
      <c r="H100" s="103">
        <v>43159</v>
      </c>
      <c r="I100" s="22">
        <v>2713.8305387238102</v>
      </c>
      <c r="J100" s="105">
        <f t="shared" si="6"/>
        <v>-2.6886184436863164E-2</v>
      </c>
      <c r="K100" s="103">
        <v>43159</v>
      </c>
      <c r="L100" s="22">
        <v>37.549999999999997</v>
      </c>
      <c r="M100" s="105">
        <f t="shared" si="7"/>
        <v>-7.0572569906790908E-2</v>
      </c>
    </row>
    <row r="101" spans="1:13" x14ac:dyDescent="0.15">
      <c r="A101" s="104">
        <v>43131</v>
      </c>
      <c r="B101" s="24">
        <v>2823.80993735536</v>
      </c>
      <c r="C101" s="105">
        <f t="shared" si="5"/>
        <v>-3.8947167504676722E-2</v>
      </c>
      <c r="F101">
        <f t="shared" si="4"/>
        <v>-5.4657199930184676E-2</v>
      </c>
      <c r="H101" s="104">
        <v>43131</v>
      </c>
      <c r="I101" s="24">
        <v>2823.80993735536</v>
      </c>
      <c r="J101" s="105">
        <f t="shared" si="6"/>
        <v>-3.8947167504676722E-2</v>
      </c>
      <c r="K101" s="104">
        <v>43131</v>
      </c>
      <c r="L101" s="24">
        <v>38.35</v>
      </c>
      <c r="M101" s="105">
        <f t="shared" si="7"/>
        <v>-2.0860495436766734E-2</v>
      </c>
    </row>
    <row r="102" spans="1:13" x14ac:dyDescent="0.15">
      <c r="A102" s="103">
        <v>43098</v>
      </c>
      <c r="B102" s="22">
        <v>2673.6105231517399</v>
      </c>
      <c r="C102" s="105">
        <f t="shared" si="5"/>
        <v>5.6178494549969121E-2</v>
      </c>
      <c r="F102">
        <f t="shared" si="4"/>
        <v>-9.7838269666560961E-3</v>
      </c>
      <c r="H102" s="103">
        <v>43098</v>
      </c>
      <c r="I102" s="22">
        <v>2673.6105231517399</v>
      </c>
      <c r="J102" s="105">
        <f t="shared" si="6"/>
        <v>5.6178494549969121E-2</v>
      </c>
      <c r="K102" s="103">
        <v>43098</v>
      </c>
      <c r="L102" s="22">
        <v>38.85</v>
      </c>
      <c r="M102" s="105">
        <f t="shared" si="7"/>
        <v>-1.2870012870012869E-2</v>
      </c>
    </row>
    <row r="103" spans="1:13" x14ac:dyDescent="0.15">
      <c r="A103" s="104">
        <v>43069</v>
      </c>
      <c r="B103" s="24">
        <v>2647.5799274830702</v>
      </c>
      <c r="C103" s="105">
        <f t="shared" si="5"/>
        <v>9.8318450742357153E-3</v>
      </c>
      <c r="F103">
        <f t="shared" si="4"/>
        <v>-2.7694000537817991E-2</v>
      </c>
      <c r="H103" s="104">
        <v>43069</v>
      </c>
      <c r="I103" s="24">
        <v>2647.5799274830702</v>
      </c>
      <c r="J103" s="105">
        <f t="shared" si="6"/>
        <v>9.8318450742357153E-3</v>
      </c>
      <c r="K103" s="104">
        <v>43069</v>
      </c>
      <c r="L103" s="24">
        <v>39</v>
      </c>
      <c r="M103" s="105">
        <f t="shared" si="7"/>
        <v>-3.8461538461538095E-3</v>
      </c>
    </row>
    <row r="104" spans="1:13" x14ac:dyDescent="0.15">
      <c r="A104" s="103">
        <v>43039</v>
      </c>
      <c r="B104" s="22">
        <v>2575.2638304521402</v>
      </c>
      <c r="C104" s="105">
        <f t="shared" si="5"/>
        <v>2.8081044037431082E-2</v>
      </c>
      <c r="F104">
        <f t="shared" si="4"/>
        <v>-2.194721651032995E-2</v>
      </c>
      <c r="H104" s="103">
        <v>43039</v>
      </c>
      <c r="I104" s="22">
        <v>2575.2638304521402</v>
      </c>
      <c r="J104" s="105">
        <f t="shared" si="6"/>
        <v>2.8081044037431082E-2</v>
      </c>
      <c r="K104" s="103">
        <v>43039</v>
      </c>
      <c r="L104" s="22">
        <v>42.55</v>
      </c>
      <c r="M104" s="105">
        <f t="shared" si="7"/>
        <v>-8.3431257344300763E-2</v>
      </c>
    </row>
    <row r="105" spans="1:13" x14ac:dyDescent="0.15">
      <c r="A105" s="104">
        <v>43007</v>
      </c>
      <c r="B105" s="24">
        <v>2519.3596719060702</v>
      </c>
      <c r="C105" s="105">
        <f t="shared" si="5"/>
        <v>2.2189828300210355E-2</v>
      </c>
      <c r="F105">
        <f t="shared" si="4"/>
        <v>-1.9118742843318045E-2</v>
      </c>
      <c r="H105" s="104">
        <v>43007</v>
      </c>
      <c r="I105" s="24">
        <v>2519.3596719060702</v>
      </c>
      <c r="J105" s="105">
        <f t="shared" si="6"/>
        <v>2.2189828300210355E-2</v>
      </c>
      <c r="K105" s="104">
        <v>43007</v>
      </c>
      <c r="L105" s="24">
        <v>43.1</v>
      </c>
      <c r="M105" s="105">
        <f t="shared" si="7"/>
        <v>-1.2761020881670632E-2</v>
      </c>
    </row>
    <row r="106" spans="1:13" x14ac:dyDescent="0.15">
      <c r="A106" s="103">
        <v>42978</v>
      </c>
      <c r="B106" s="22">
        <v>2471.6502079420102</v>
      </c>
      <c r="C106" s="105">
        <f t="shared" si="5"/>
        <v>1.9302676329667492E-2</v>
      </c>
      <c r="F106">
        <f t="shared" si="4"/>
        <v>-5.4641696160470275E-4</v>
      </c>
      <c r="H106" s="103">
        <v>42978</v>
      </c>
      <c r="I106" s="22">
        <v>2471.6502079420102</v>
      </c>
      <c r="J106" s="105">
        <f t="shared" si="6"/>
        <v>1.9302676329667492E-2</v>
      </c>
      <c r="K106" s="103">
        <v>42978</v>
      </c>
      <c r="L106" s="22">
        <v>40</v>
      </c>
      <c r="M106" s="105">
        <f t="shared" si="7"/>
        <v>7.7500000000000041E-2</v>
      </c>
    </row>
    <row r="107" spans="1:13" x14ac:dyDescent="0.15">
      <c r="A107" s="104">
        <v>42947</v>
      </c>
      <c r="B107" s="24">
        <v>2470.3000252601901</v>
      </c>
      <c r="C107" s="105">
        <f t="shared" si="5"/>
        <v>5.4656627454711872E-4</v>
      </c>
      <c r="F107">
        <f t="shared" si="4"/>
        <v>-1.9164429333004898E-2</v>
      </c>
      <c r="H107" s="104">
        <v>42947</v>
      </c>
      <c r="I107" s="24">
        <v>2470.3000252601901</v>
      </c>
      <c r="J107" s="105">
        <f t="shared" si="6"/>
        <v>5.4656627454711872E-4</v>
      </c>
      <c r="K107" s="104">
        <v>42947</v>
      </c>
      <c r="L107" s="24">
        <v>38.450000000000003</v>
      </c>
      <c r="M107" s="105">
        <f t="shared" si="7"/>
        <v>4.0312093628088352E-2</v>
      </c>
    </row>
    <row r="108" spans="1:13" x14ac:dyDescent="0.15">
      <c r="A108" s="103">
        <v>42916</v>
      </c>
      <c r="B108" s="22">
        <v>2423.4088910629698</v>
      </c>
      <c r="C108" s="105">
        <f t="shared" si="5"/>
        <v>1.9349245754666101E-2</v>
      </c>
      <c r="F108">
        <f t="shared" si="4"/>
        <v>-4.8029343982455728E-3</v>
      </c>
      <c r="H108" s="103">
        <v>42916</v>
      </c>
      <c r="I108" s="22">
        <v>2423.4088910629698</v>
      </c>
      <c r="J108" s="105">
        <f t="shared" si="6"/>
        <v>1.9349245754666101E-2</v>
      </c>
      <c r="K108" s="103">
        <v>42916</v>
      </c>
      <c r="L108" s="22">
        <v>35.6</v>
      </c>
      <c r="M108" s="105">
        <f t="shared" si="7"/>
        <v>8.0056179775280942E-2</v>
      </c>
    </row>
    <row r="109" spans="1:13" x14ac:dyDescent="0.15">
      <c r="A109" s="104">
        <v>42886</v>
      </c>
      <c r="B109" s="24">
        <v>2411.7973242573498</v>
      </c>
      <c r="C109" s="105">
        <f t="shared" si="5"/>
        <v>4.8144869756812864E-3</v>
      </c>
      <c r="F109">
        <f t="shared" si="4"/>
        <v>-1.1510488902651295E-2</v>
      </c>
      <c r="H109" s="104">
        <v>42886</v>
      </c>
      <c r="I109" s="24">
        <v>2411.7973242573498</v>
      </c>
      <c r="J109" s="105">
        <f t="shared" si="6"/>
        <v>4.8144869756812864E-3</v>
      </c>
      <c r="K109" s="104">
        <v>42886</v>
      </c>
      <c r="L109" s="24">
        <v>32.85</v>
      </c>
      <c r="M109" s="105">
        <f t="shared" si="7"/>
        <v>8.3713850837138504E-2</v>
      </c>
    </row>
    <row r="110" spans="1:13" x14ac:dyDescent="0.15">
      <c r="A110" s="103">
        <v>42853</v>
      </c>
      <c r="B110" s="22">
        <v>2384.1955178138101</v>
      </c>
      <c r="C110" s="105">
        <f t="shared" si="5"/>
        <v>1.1576989486520497E-2</v>
      </c>
      <c r="F110">
        <f t="shared" si="4"/>
        <v>-9.0490138038562783E-3</v>
      </c>
      <c r="H110" s="103">
        <v>42853</v>
      </c>
      <c r="I110" s="22">
        <v>2384.1955178138101</v>
      </c>
      <c r="J110" s="105">
        <f t="shared" si="6"/>
        <v>1.1576989486520497E-2</v>
      </c>
      <c r="K110" s="103">
        <v>42853</v>
      </c>
      <c r="L110" s="22">
        <v>30.05</v>
      </c>
      <c r="M110" s="105">
        <f t="shared" si="7"/>
        <v>9.3178036605657266E-2</v>
      </c>
    </row>
    <row r="111" spans="1:13" x14ac:dyDescent="0.15">
      <c r="A111" s="104">
        <v>42825</v>
      </c>
      <c r="B111" s="24">
        <v>2362.7182203972998</v>
      </c>
      <c r="C111" s="105">
        <f t="shared" si="5"/>
        <v>9.0900799050420821E-3</v>
      </c>
      <c r="F111">
        <f t="shared" si="4"/>
        <v>3.8929638901019669E-4</v>
      </c>
      <c r="H111" s="104">
        <v>42825</v>
      </c>
      <c r="I111" s="24">
        <v>2362.7182203972998</v>
      </c>
      <c r="J111" s="105">
        <f t="shared" si="6"/>
        <v>9.0900799050420821E-3</v>
      </c>
      <c r="K111" s="104">
        <v>42825</v>
      </c>
      <c r="L111" s="24">
        <v>28.7</v>
      </c>
      <c r="M111" s="105">
        <f t="shared" si="7"/>
        <v>4.7038327526132455E-2</v>
      </c>
    </row>
    <row r="112" spans="1:13" x14ac:dyDescent="0.15">
      <c r="A112" s="103">
        <v>42794</v>
      </c>
      <c r="B112" s="22">
        <v>2363.6381971289402</v>
      </c>
      <c r="C112" s="105">
        <f t="shared" si="5"/>
        <v>-3.8922062300308626E-4</v>
      </c>
      <c r="F112">
        <f t="shared" si="4"/>
        <v>-3.6523699300160743E-2</v>
      </c>
      <c r="H112" s="103">
        <v>42794</v>
      </c>
      <c r="I112" s="22">
        <v>2363.6381971289402</v>
      </c>
      <c r="J112" s="105">
        <f t="shared" si="6"/>
        <v>-3.8922062300308626E-4</v>
      </c>
      <c r="K112" s="103">
        <v>42794</v>
      </c>
      <c r="L112" s="22">
        <v>26.8</v>
      </c>
      <c r="M112" s="105">
        <f t="shared" si="7"/>
        <v>7.0895522388059642E-2</v>
      </c>
    </row>
    <row r="113" spans="1:13" x14ac:dyDescent="0.15">
      <c r="A113" s="104">
        <v>42766</v>
      </c>
      <c r="B113" s="24">
        <v>2278.8668906139401</v>
      </c>
      <c r="C113" s="105">
        <f t="shared" si="5"/>
        <v>3.7198884614169904E-2</v>
      </c>
      <c r="F113">
        <f t="shared" si="4"/>
        <v>-1.7726415805844022E-2</v>
      </c>
      <c r="H113" s="104">
        <v>42766</v>
      </c>
      <c r="I113" s="24">
        <v>2278.8668906139401</v>
      </c>
      <c r="J113" s="105">
        <f t="shared" si="6"/>
        <v>3.7198884614169904E-2</v>
      </c>
      <c r="K113" s="104">
        <v>42766</v>
      </c>
      <c r="L113" s="24">
        <v>25.9</v>
      </c>
      <c r="M113" s="105">
        <f t="shared" si="7"/>
        <v>3.4749034749034832E-2</v>
      </c>
    </row>
    <row r="114" spans="1:13" x14ac:dyDescent="0.15">
      <c r="A114" s="103">
        <v>42734</v>
      </c>
      <c r="B114" s="22">
        <v>2238.8266817075501</v>
      </c>
      <c r="C114" s="105">
        <f t="shared" si="5"/>
        <v>1.7884461192793816E-2</v>
      </c>
      <c r="F114">
        <f t="shared" si="4"/>
        <v>-1.8035416654575562E-2</v>
      </c>
      <c r="H114" s="103">
        <v>42734</v>
      </c>
      <c r="I114" s="22">
        <v>2238.8266817075501</v>
      </c>
      <c r="J114" s="105">
        <f t="shared" si="6"/>
        <v>1.7884461192793816E-2</v>
      </c>
      <c r="K114" s="103">
        <v>42734</v>
      </c>
      <c r="L114" s="22">
        <v>27.75</v>
      </c>
      <c r="M114" s="105">
        <f t="shared" si="7"/>
        <v>-6.6666666666666721E-2</v>
      </c>
    </row>
    <row r="115" spans="1:13" x14ac:dyDescent="0.15">
      <c r="A115" s="104">
        <v>42704</v>
      </c>
      <c r="B115" s="24">
        <v>2198.810449088</v>
      </c>
      <c r="C115" s="105">
        <f t="shared" si="5"/>
        <v>1.8199036954798686E-2</v>
      </c>
      <c r="F115">
        <f t="shared" si="4"/>
        <v>-3.3602126003788445E-2</v>
      </c>
      <c r="H115" s="104">
        <v>42704</v>
      </c>
      <c r="I115" s="24">
        <v>2198.810449088</v>
      </c>
      <c r="J115" s="105">
        <f t="shared" si="6"/>
        <v>1.8199036954798686E-2</v>
      </c>
      <c r="K115" s="104">
        <v>42704</v>
      </c>
      <c r="L115" s="24">
        <v>25.1</v>
      </c>
      <c r="M115" s="105">
        <f t="shared" si="7"/>
        <v>0.10557768924302782</v>
      </c>
    </row>
    <row r="116" spans="1:13" x14ac:dyDescent="0.15">
      <c r="A116" s="103">
        <v>42674</v>
      </c>
      <c r="B116" s="22">
        <v>2126.1532970298399</v>
      </c>
      <c r="C116" s="105">
        <f t="shared" si="5"/>
        <v>3.417305429465485E-2</v>
      </c>
      <c r="F116">
        <f t="shared" si="4"/>
        <v>1.9616195135993511E-2</v>
      </c>
      <c r="H116" s="103">
        <v>42674</v>
      </c>
      <c r="I116" s="22">
        <v>2126.1532970298399</v>
      </c>
      <c r="J116" s="105">
        <f t="shared" si="6"/>
        <v>3.417305429465485E-2</v>
      </c>
      <c r="K116" s="103">
        <v>42674</v>
      </c>
      <c r="L116" s="22">
        <v>21.7</v>
      </c>
      <c r="M116" s="105">
        <f t="shared" si="7"/>
        <v>0.15668202764976968</v>
      </c>
    </row>
    <row r="117" spans="1:13" x14ac:dyDescent="0.15">
      <c r="A117" s="104">
        <v>42643</v>
      </c>
      <c r="B117" s="24">
        <v>2168.2720896372898</v>
      </c>
      <c r="C117" s="105">
        <f t="shared" si="5"/>
        <v>-1.942504947084181E-2</v>
      </c>
      <c r="F117">
        <f t="shared" si="4"/>
        <v>1.2328800942285015E-3</v>
      </c>
      <c r="H117" s="104">
        <v>42643</v>
      </c>
      <c r="I117" s="24">
        <v>2168.2720896372898</v>
      </c>
      <c r="J117" s="105">
        <f t="shared" si="6"/>
        <v>-1.942504947084181E-2</v>
      </c>
      <c r="K117" s="104">
        <v>42643</v>
      </c>
      <c r="L117" s="24">
        <v>22.97</v>
      </c>
      <c r="M117" s="105">
        <f t="shared" si="7"/>
        <v>-5.5289508053983444E-2</v>
      </c>
    </row>
    <row r="118" spans="1:13" x14ac:dyDescent="0.15">
      <c r="A118" s="103">
        <v>42613</v>
      </c>
      <c r="B118" s="22">
        <v>2170.9469576924498</v>
      </c>
      <c r="C118" s="105">
        <f t="shared" si="5"/>
        <v>-1.2321204097971994E-3</v>
      </c>
      <c r="F118">
        <f t="shared" si="4"/>
        <v>1.2230965357191896E-3</v>
      </c>
      <c r="H118" s="103">
        <v>42613</v>
      </c>
      <c r="I118" s="22">
        <v>2170.9469576924498</v>
      </c>
      <c r="J118" s="105">
        <f t="shared" si="6"/>
        <v>-1.2321204097971994E-3</v>
      </c>
      <c r="K118" s="103">
        <v>42613</v>
      </c>
      <c r="L118" s="22">
        <v>20.76</v>
      </c>
      <c r="M118" s="105">
        <f t="shared" si="7"/>
        <v>0.10645472061657019</v>
      </c>
    </row>
    <row r="119" spans="1:13" x14ac:dyDescent="0.15">
      <c r="A119" s="104">
        <v>42580</v>
      </c>
      <c r="B119" s="24">
        <v>2173.6038598883501</v>
      </c>
      <c r="C119" s="105">
        <f t="shared" si="5"/>
        <v>-1.2223488580098512E-3</v>
      </c>
      <c r="F119">
        <f t="shared" si="4"/>
        <v>-3.4994489076334664E-2</v>
      </c>
      <c r="H119" s="104">
        <v>42580</v>
      </c>
      <c r="I119" s="24">
        <v>2173.6038598883501</v>
      </c>
      <c r="J119" s="105">
        <f t="shared" si="6"/>
        <v>-1.2223488580098512E-3</v>
      </c>
      <c r="K119" s="104">
        <v>42580</v>
      </c>
      <c r="L119" s="24">
        <v>19.190000000000001</v>
      </c>
      <c r="M119" s="105">
        <f t="shared" si="7"/>
        <v>8.1813444502344984E-2</v>
      </c>
    </row>
    <row r="120" spans="1:13" x14ac:dyDescent="0.15">
      <c r="A120" s="103">
        <v>42551</v>
      </c>
      <c r="B120" s="22">
        <v>2098.8552265056101</v>
      </c>
      <c r="C120" s="105">
        <f t="shared" si="5"/>
        <v>3.5614001594187747E-2</v>
      </c>
      <c r="F120">
        <f t="shared" si="4"/>
        <v>-9.0138844079634131E-4</v>
      </c>
      <c r="H120" s="103">
        <v>42551</v>
      </c>
      <c r="I120" s="22">
        <v>2098.8552265056101</v>
      </c>
      <c r="J120" s="105">
        <f t="shared" si="6"/>
        <v>3.5614001594187747E-2</v>
      </c>
      <c r="K120" s="103">
        <v>42551</v>
      </c>
      <c r="L120" s="22">
        <v>17.37</v>
      </c>
      <c r="M120" s="105">
        <f t="shared" si="7"/>
        <v>0.1047783534830167</v>
      </c>
    </row>
    <row r="121" spans="1:13" x14ac:dyDescent="0.15">
      <c r="A121" s="104">
        <v>42521</v>
      </c>
      <c r="B121" s="24">
        <v>2096.96419507051</v>
      </c>
      <c r="C121" s="105">
        <f t="shared" si="5"/>
        <v>9.0179481344769357E-4</v>
      </c>
      <c r="F121">
        <f t="shared" si="4"/>
        <v>-1.5216974126384262E-2</v>
      </c>
      <c r="H121" s="104">
        <v>42521</v>
      </c>
      <c r="I121" s="24">
        <v>2096.96419507051</v>
      </c>
      <c r="J121" s="105">
        <f t="shared" si="6"/>
        <v>9.0179481344769357E-4</v>
      </c>
      <c r="K121" s="104">
        <v>42521</v>
      </c>
      <c r="L121" s="24">
        <v>16.64</v>
      </c>
      <c r="M121" s="105">
        <f t="shared" si="7"/>
        <v>4.3870192307692332E-2</v>
      </c>
    </row>
    <row r="122" spans="1:13" x14ac:dyDescent="0.15">
      <c r="A122" s="103">
        <v>42489</v>
      </c>
      <c r="B122" s="22">
        <v>2065.2963010051599</v>
      </c>
      <c r="C122" s="105">
        <f t="shared" si="5"/>
        <v>1.5333341782453986E-2</v>
      </c>
      <c r="F122">
        <f t="shared" si="4"/>
        <v>-2.6933708080682135E-3</v>
      </c>
      <c r="H122" s="103">
        <v>42489</v>
      </c>
      <c r="I122" s="22">
        <v>2065.2963010051599</v>
      </c>
      <c r="J122" s="105">
        <f t="shared" si="6"/>
        <v>1.5333341782453986E-2</v>
      </c>
      <c r="K122" s="103">
        <v>42489</v>
      </c>
      <c r="L122" s="22">
        <v>17.309999999999999</v>
      </c>
      <c r="M122" s="105">
        <f t="shared" si="7"/>
        <v>-3.8705950317735306E-2</v>
      </c>
    </row>
    <row r="123" spans="1:13" x14ac:dyDescent="0.15">
      <c r="A123" s="104">
        <v>42460</v>
      </c>
      <c r="B123" s="24">
        <v>2059.7411766011601</v>
      </c>
      <c r="C123" s="105">
        <f t="shared" si="5"/>
        <v>2.6970011898128257E-3</v>
      </c>
      <c r="F123">
        <f t="shared" si="4"/>
        <v>-6.390742198409223E-2</v>
      </c>
      <c r="H123" s="104">
        <v>42460</v>
      </c>
      <c r="I123" s="24">
        <v>2059.7411766011601</v>
      </c>
      <c r="J123" s="105">
        <f t="shared" si="6"/>
        <v>2.6970011898128257E-3</v>
      </c>
      <c r="K123" s="104">
        <v>42460</v>
      </c>
      <c r="L123" s="24">
        <v>15.81</v>
      </c>
      <c r="M123" s="105">
        <f t="shared" si="7"/>
        <v>9.4876660341555868E-2</v>
      </c>
    </row>
    <row r="124" spans="1:13" x14ac:dyDescent="0.15">
      <c r="A124" s="103">
        <v>42429</v>
      </c>
      <c r="B124" s="22">
        <v>1932.2263947971101</v>
      </c>
      <c r="C124" s="105">
        <f t="shared" si="5"/>
        <v>6.5993706610885772E-2</v>
      </c>
      <c r="F124">
        <f t="shared" si="4"/>
        <v>4.1386002142858201E-3</v>
      </c>
      <c r="H124" s="103">
        <v>42429</v>
      </c>
      <c r="I124" s="22">
        <v>1932.2263947971101</v>
      </c>
      <c r="J124" s="105">
        <f t="shared" si="6"/>
        <v>6.5993706610885772E-2</v>
      </c>
      <c r="K124" s="103">
        <v>42429</v>
      </c>
      <c r="L124" s="22">
        <v>14.93</v>
      </c>
      <c r="M124" s="105">
        <f t="shared" si="7"/>
        <v>5.894172806430012E-2</v>
      </c>
    </row>
    <row r="125" spans="1:13" x14ac:dyDescent="0.15">
      <c r="A125" s="104">
        <v>42398</v>
      </c>
      <c r="B125" s="24">
        <v>1940.23967781845</v>
      </c>
      <c r="C125" s="105">
        <f t="shared" si="5"/>
        <v>-4.1300480105374588E-3</v>
      </c>
      <c r="F125">
        <f t="shared" si="4"/>
        <v>5.2066272043751888E-2</v>
      </c>
      <c r="H125" s="104">
        <v>42398</v>
      </c>
      <c r="I125" s="24">
        <v>1940.23967781845</v>
      </c>
      <c r="J125" s="105">
        <f t="shared" si="6"/>
        <v>-4.1300480105374588E-3</v>
      </c>
      <c r="K125" s="104">
        <v>42398</v>
      </c>
      <c r="L125" s="24">
        <v>14.79</v>
      </c>
      <c r="M125" s="105">
        <f t="shared" si="7"/>
        <v>9.4658553076403373E-3</v>
      </c>
    </row>
    <row r="126" spans="1:13" x14ac:dyDescent="0.15">
      <c r="A126" s="103">
        <v>42369</v>
      </c>
      <c r="B126" s="22">
        <v>2043.93686266072</v>
      </c>
      <c r="C126" s="105">
        <f t="shared" si="5"/>
        <v>-5.0734045036636248E-2</v>
      </c>
      <c r="F126">
        <f t="shared" si="4"/>
        <v>1.7685682514527772E-2</v>
      </c>
      <c r="H126" s="103">
        <v>42369</v>
      </c>
      <c r="I126" s="22">
        <v>2043.93686266072</v>
      </c>
      <c r="J126" s="105">
        <f t="shared" si="6"/>
        <v>-5.0734045036636248E-2</v>
      </c>
      <c r="K126" s="103">
        <v>42369</v>
      </c>
      <c r="L126" s="22">
        <v>16.53</v>
      </c>
      <c r="M126" s="105">
        <f t="shared" si="7"/>
        <v>-0.10526315789473696</v>
      </c>
    </row>
    <row r="127" spans="1:13" x14ac:dyDescent="0.15">
      <c r="A127" s="104">
        <v>42338</v>
      </c>
      <c r="B127" s="24">
        <v>2080.40682861816</v>
      </c>
      <c r="C127" s="105">
        <f t="shared" si="5"/>
        <v>-1.7530208734059975E-2</v>
      </c>
      <c r="F127">
        <f t="shared" si="4"/>
        <v>-5.0338937596428306E-4</v>
      </c>
      <c r="H127" s="104">
        <v>42338</v>
      </c>
      <c r="I127" s="24">
        <v>2080.40682861816</v>
      </c>
      <c r="J127" s="105">
        <f t="shared" si="6"/>
        <v>-1.7530208734059975E-2</v>
      </c>
      <c r="K127" s="104">
        <v>42338</v>
      </c>
      <c r="L127" s="24">
        <v>17.77</v>
      </c>
      <c r="M127" s="105">
        <f t="shared" si="7"/>
        <v>-6.9780528981429293E-2</v>
      </c>
    </row>
    <row r="128" spans="1:13" x14ac:dyDescent="0.15">
      <c r="A128" s="103">
        <v>42307</v>
      </c>
      <c r="B128" s="22">
        <v>2079.3598374671701</v>
      </c>
      <c r="C128" s="105">
        <f t="shared" si="5"/>
        <v>5.0351609765880896E-4</v>
      </c>
      <c r="F128">
        <f t="shared" si="4"/>
        <v>-7.9721060970625202E-2</v>
      </c>
      <c r="H128" s="103">
        <v>42307</v>
      </c>
      <c r="I128" s="22">
        <v>2079.3598374671701</v>
      </c>
      <c r="J128" s="105">
        <f t="shared" si="6"/>
        <v>5.0351609765880896E-4</v>
      </c>
      <c r="K128" s="103">
        <v>42307</v>
      </c>
      <c r="L128" s="22">
        <v>17.75</v>
      </c>
      <c r="M128" s="105">
        <f t="shared" si="7"/>
        <v>1.1267605633802577E-3</v>
      </c>
    </row>
    <row r="129" spans="1:13" x14ac:dyDescent="0.15">
      <c r="A129" s="104">
        <v>42277</v>
      </c>
      <c r="B129" s="24">
        <v>1920.0265516397001</v>
      </c>
      <c r="C129" s="105">
        <f t="shared" si="5"/>
        <v>8.2984938771497527E-2</v>
      </c>
      <c r="F129">
        <f t="shared" si="4"/>
        <v>2.6802892404877824E-2</v>
      </c>
      <c r="H129" s="104">
        <v>42277</v>
      </c>
      <c r="I129" s="24">
        <v>1920.0265516397001</v>
      </c>
      <c r="J129" s="105">
        <f t="shared" si="6"/>
        <v>8.2984938771497527E-2</v>
      </c>
      <c r="K129" s="104">
        <v>42277</v>
      </c>
      <c r="L129" s="24">
        <v>16.86</v>
      </c>
      <c r="M129" s="105">
        <f t="shared" si="7"/>
        <v>5.2787663107947844E-2</v>
      </c>
    </row>
    <row r="130" spans="1:13" x14ac:dyDescent="0.15">
      <c r="A130" s="103">
        <v>42247</v>
      </c>
      <c r="B130" s="22">
        <v>1972.18468871092</v>
      </c>
      <c r="C130" s="105">
        <f t="shared" si="5"/>
        <v>-2.6446882672693333E-2</v>
      </c>
      <c r="F130">
        <f t="shared" si="4"/>
        <v>6.4620135976928159E-2</v>
      </c>
      <c r="H130" s="103">
        <v>42247</v>
      </c>
      <c r="I130" s="22">
        <v>1972.18468871092</v>
      </c>
      <c r="J130" s="105">
        <f t="shared" si="6"/>
        <v>-2.6446882672693333E-2</v>
      </c>
      <c r="K130" s="103">
        <v>42247</v>
      </c>
      <c r="L130" s="22">
        <v>15.02</v>
      </c>
      <c r="M130" s="105">
        <f t="shared" si="7"/>
        <v>0.12250332889480692</v>
      </c>
    </row>
    <row r="131" spans="1:13" x14ac:dyDescent="0.15">
      <c r="A131" s="104">
        <v>42216</v>
      </c>
      <c r="B131" s="24">
        <v>2103.8353651370599</v>
      </c>
      <c r="C131" s="105">
        <f t="shared" si="5"/>
        <v>-6.257651078964685E-2</v>
      </c>
      <c r="F131">
        <f t="shared" ref="F131:F194" si="8">LN(B132/B131)</f>
        <v>-1.954660214226376E-2</v>
      </c>
      <c r="H131" s="104">
        <v>42216</v>
      </c>
      <c r="I131" s="24">
        <v>2103.8353651370599</v>
      </c>
      <c r="J131" s="105">
        <f t="shared" si="6"/>
        <v>-6.257651078964685E-2</v>
      </c>
      <c r="K131" s="104">
        <v>42216</v>
      </c>
      <c r="L131" s="24">
        <v>15.88</v>
      </c>
      <c r="M131" s="105">
        <f t="shared" si="7"/>
        <v>-5.4156171284634833E-2</v>
      </c>
    </row>
    <row r="132" spans="1:13" x14ac:dyDescent="0.15">
      <c r="A132" s="103">
        <v>42185</v>
      </c>
      <c r="B132" s="22">
        <v>2063.1118322236698</v>
      </c>
      <c r="C132" s="105">
        <f t="shared" ref="C132:C195" si="9">(B131-B132)/B132</f>
        <v>1.9738887770081408E-2</v>
      </c>
      <c r="F132">
        <f t="shared" si="8"/>
        <v>2.1234573746561718E-2</v>
      </c>
      <c r="H132" s="103">
        <v>42185</v>
      </c>
      <c r="I132" s="22">
        <v>2063.1118322236698</v>
      </c>
      <c r="J132" s="105">
        <f t="shared" ref="J132:J154" si="10">(I131-I132)/I132</f>
        <v>1.9738887770081408E-2</v>
      </c>
      <c r="K132" s="103">
        <v>42185</v>
      </c>
      <c r="L132" s="22">
        <v>16.079999999999998</v>
      </c>
      <c r="M132" s="105">
        <f t="shared" ref="M132:M154" si="11">(L131-L132)/L132</f>
        <v>-1.2437810945273478E-2</v>
      </c>
    </row>
    <row r="133" spans="1:13" x14ac:dyDescent="0.15">
      <c r="A133" s="104">
        <v>42153</v>
      </c>
      <c r="B133" s="24">
        <v>2107.3895783551202</v>
      </c>
      <c r="C133" s="105">
        <f t="shared" si="9"/>
        <v>-2.1010707553185525E-2</v>
      </c>
      <c r="F133">
        <f t="shared" si="8"/>
        <v>-1.0434833501554467E-2</v>
      </c>
      <c r="H133" s="104">
        <v>42153</v>
      </c>
      <c r="I133" s="24">
        <v>2107.3895783551202</v>
      </c>
      <c r="J133" s="105">
        <f t="shared" si="10"/>
        <v>-2.1010707553185525E-2</v>
      </c>
      <c r="K133" s="104">
        <v>42153</v>
      </c>
      <c r="L133" s="24">
        <v>16.309999999999999</v>
      </c>
      <c r="M133" s="105">
        <f t="shared" si="11"/>
        <v>-1.4101778050275932E-2</v>
      </c>
    </row>
    <row r="134" spans="1:13" x14ac:dyDescent="0.15">
      <c r="A134" s="103">
        <v>42124</v>
      </c>
      <c r="B134" s="22">
        <v>2085.5136532975898</v>
      </c>
      <c r="C134" s="105">
        <f t="shared" si="9"/>
        <v>1.0489466239139893E-2</v>
      </c>
      <c r="F134">
        <f t="shared" si="8"/>
        <v>-8.4877519934320085E-3</v>
      </c>
      <c r="H134" s="103">
        <v>42124</v>
      </c>
      <c r="I134" s="22">
        <v>2085.5136532975898</v>
      </c>
      <c r="J134" s="105">
        <f t="shared" si="10"/>
        <v>1.0489466239139893E-2</v>
      </c>
      <c r="K134" s="103">
        <v>42124</v>
      </c>
      <c r="L134" s="22">
        <v>15.22</v>
      </c>
      <c r="M134" s="105">
        <f t="shared" si="11"/>
        <v>7.161629434953995E-2</v>
      </c>
    </row>
    <row r="135" spans="1:13" x14ac:dyDescent="0.15">
      <c r="A135" s="104">
        <v>42094</v>
      </c>
      <c r="B135" s="24">
        <v>2067.88724075851</v>
      </c>
      <c r="C135" s="105">
        <f t="shared" si="9"/>
        <v>8.5238750893469519E-3</v>
      </c>
      <c r="F135">
        <f t="shared" si="8"/>
        <v>1.7552023801854798E-2</v>
      </c>
      <c r="H135" s="104">
        <v>42094</v>
      </c>
      <c r="I135" s="24">
        <v>2067.88724075851</v>
      </c>
      <c r="J135" s="105">
        <f t="shared" si="10"/>
        <v>8.5238750893469519E-3</v>
      </c>
      <c r="K135" s="104">
        <v>42094</v>
      </c>
      <c r="L135" s="24">
        <v>15.34</v>
      </c>
      <c r="M135" s="105">
        <f t="shared" si="11"/>
        <v>-7.8226857887874323E-3</v>
      </c>
    </row>
    <row r="136" spans="1:13" x14ac:dyDescent="0.15">
      <c r="A136" s="103">
        <v>42062</v>
      </c>
      <c r="B136" s="22">
        <v>2104.5032493243398</v>
      </c>
      <c r="C136" s="105">
        <f t="shared" si="9"/>
        <v>-1.7398884310387996E-2</v>
      </c>
      <c r="F136">
        <f t="shared" si="8"/>
        <v>-5.344020887340474E-2</v>
      </c>
      <c r="H136" s="103">
        <v>42062</v>
      </c>
      <c r="I136" s="22">
        <v>2104.5032493243398</v>
      </c>
      <c r="J136" s="105">
        <f t="shared" si="10"/>
        <v>-1.7398884310387996E-2</v>
      </c>
      <c r="K136" s="103">
        <v>42062</v>
      </c>
      <c r="L136" s="22">
        <v>14.9</v>
      </c>
      <c r="M136" s="105">
        <f t="shared" si="11"/>
        <v>2.9530201342281844E-2</v>
      </c>
    </row>
    <row r="137" spans="1:13" x14ac:dyDescent="0.15">
      <c r="A137" s="104">
        <v>42034</v>
      </c>
      <c r="B137" s="24">
        <v>1994.9904120546801</v>
      </c>
      <c r="C137" s="105">
        <f t="shared" si="9"/>
        <v>5.4893916586230745E-2</v>
      </c>
      <c r="F137">
        <f t="shared" si="8"/>
        <v>3.1533770659105544E-2</v>
      </c>
      <c r="H137" s="104">
        <v>42034</v>
      </c>
      <c r="I137" s="24">
        <v>1994.9904120546801</v>
      </c>
      <c r="J137" s="105">
        <f t="shared" si="10"/>
        <v>5.4893916586230745E-2</v>
      </c>
      <c r="K137" s="104">
        <v>42034</v>
      </c>
      <c r="L137" s="24">
        <v>15.19</v>
      </c>
      <c r="M137" s="105">
        <f t="shared" si="11"/>
        <v>-1.9091507570770189E-2</v>
      </c>
    </row>
    <row r="138" spans="1:13" x14ac:dyDescent="0.15">
      <c r="A138" s="103">
        <v>42004</v>
      </c>
      <c r="B138" s="22">
        <v>2058.9023788568902</v>
      </c>
      <c r="C138" s="105">
        <f t="shared" si="9"/>
        <v>-3.1041766456986801E-2</v>
      </c>
      <c r="F138">
        <f t="shared" si="8"/>
        <v>4.1971419084302864E-3</v>
      </c>
      <c r="H138" s="103">
        <v>42004</v>
      </c>
      <c r="I138" s="22">
        <v>2058.9023788568902</v>
      </c>
      <c r="J138" s="105">
        <f t="shared" si="10"/>
        <v>-3.1041766456986801E-2</v>
      </c>
      <c r="K138" s="103">
        <v>42004</v>
      </c>
      <c r="L138" s="22">
        <v>16.23</v>
      </c>
      <c r="M138" s="105">
        <f t="shared" si="11"/>
        <v>-6.4078866296980952E-2</v>
      </c>
    </row>
    <row r="139" spans="1:13" x14ac:dyDescent="0.15">
      <c r="A139" s="104">
        <v>41971</v>
      </c>
      <c r="B139" s="24">
        <v>2067.5620445270201</v>
      </c>
      <c r="C139" s="105">
        <f t="shared" si="9"/>
        <v>-4.1883462182199854E-3</v>
      </c>
      <c r="F139">
        <f t="shared" si="8"/>
        <v>-2.423622677245665E-2</v>
      </c>
      <c r="H139" s="104">
        <v>41971</v>
      </c>
      <c r="I139" s="24">
        <v>2067.5620445270201</v>
      </c>
      <c r="J139" s="105">
        <f t="shared" si="10"/>
        <v>-4.1883462182199854E-3</v>
      </c>
      <c r="K139" s="104">
        <v>41971</v>
      </c>
      <c r="L139" s="24">
        <v>13.71</v>
      </c>
      <c r="M139" s="105">
        <f t="shared" si="11"/>
        <v>0.18380743982494524</v>
      </c>
    </row>
    <row r="140" spans="1:13" x14ac:dyDescent="0.15">
      <c r="A140" s="103">
        <v>41943</v>
      </c>
      <c r="B140" s="22">
        <v>2018.05450329635</v>
      </c>
      <c r="C140" s="105">
        <f t="shared" si="9"/>
        <v>2.4532311268007381E-2</v>
      </c>
      <c r="F140">
        <f t="shared" si="8"/>
        <v>-2.2941087529087349E-2</v>
      </c>
      <c r="H140" s="103">
        <v>41943</v>
      </c>
      <c r="I140" s="22">
        <v>2018.05450329635</v>
      </c>
      <c r="J140" s="105">
        <f t="shared" si="10"/>
        <v>2.4532311268007381E-2</v>
      </c>
      <c r="K140" s="103">
        <v>41943</v>
      </c>
      <c r="L140" s="22">
        <v>16.940000000000001</v>
      </c>
      <c r="M140" s="105">
        <f t="shared" si="11"/>
        <v>-0.19067296340023615</v>
      </c>
    </row>
    <row r="141" spans="1:13" x14ac:dyDescent="0.15">
      <c r="A141" s="104">
        <v>41912</v>
      </c>
      <c r="B141" s="24">
        <v>1972.28514504996</v>
      </c>
      <c r="C141" s="105">
        <f t="shared" si="9"/>
        <v>2.3206258162650564E-2</v>
      </c>
      <c r="F141">
        <f t="shared" si="8"/>
        <v>1.5636769594769676E-2</v>
      </c>
      <c r="H141" s="104">
        <v>41912</v>
      </c>
      <c r="I141" s="24">
        <v>1972.28514504996</v>
      </c>
      <c r="J141" s="105">
        <f t="shared" si="10"/>
        <v>2.3206258162650564E-2</v>
      </c>
      <c r="K141" s="104">
        <v>41912</v>
      </c>
      <c r="L141" s="24">
        <v>15.5</v>
      </c>
      <c r="M141" s="105">
        <f t="shared" si="11"/>
        <v>9.2903225806451689E-2</v>
      </c>
    </row>
    <row r="142" spans="1:13" x14ac:dyDescent="0.15">
      <c r="A142" s="103">
        <v>41880</v>
      </c>
      <c r="B142" s="22">
        <v>2003.36769545125</v>
      </c>
      <c r="C142" s="105">
        <f t="shared" si="9"/>
        <v>-1.5515150050519733E-2</v>
      </c>
      <c r="F142">
        <f t="shared" si="8"/>
        <v>-3.6960514400653496E-2</v>
      </c>
      <c r="H142" s="103">
        <v>41880</v>
      </c>
      <c r="I142" s="22">
        <v>2003.36769545125</v>
      </c>
      <c r="J142" s="105">
        <f t="shared" si="10"/>
        <v>-1.5515150050519733E-2</v>
      </c>
      <c r="K142" s="103">
        <v>41880</v>
      </c>
      <c r="L142" s="22">
        <v>15.22</v>
      </c>
      <c r="M142" s="105">
        <f t="shared" si="11"/>
        <v>1.8396846254927685E-2</v>
      </c>
    </row>
    <row r="143" spans="1:13" x14ac:dyDescent="0.15">
      <c r="A143" s="104">
        <v>41851</v>
      </c>
      <c r="B143" s="24">
        <v>1930.6738707454799</v>
      </c>
      <c r="C143" s="105">
        <f t="shared" si="9"/>
        <v>3.7652047716221104E-2</v>
      </c>
      <c r="F143">
        <f t="shared" si="8"/>
        <v>1.5193348258071745E-2</v>
      </c>
      <c r="H143" s="104">
        <v>41851</v>
      </c>
      <c r="I143" s="24">
        <v>1930.6738707454799</v>
      </c>
      <c r="J143" s="105">
        <f t="shared" si="10"/>
        <v>3.7652047716221104E-2</v>
      </c>
      <c r="K143" s="104">
        <v>41851</v>
      </c>
      <c r="L143" s="24">
        <v>14.88</v>
      </c>
      <c r="M143" s="105">
        <f t="shared" si="11"/>
        <v>2.2849462365591388E-2</v>
      </c>
    </row>
    <row r="144" spans="1:13" x14ac:dyDescent="0.15">
      <c r="A144" s="103">
        <v>41820</v>
      </c>
      <c r="B144" s="22">
        <v>1960.23124036384</v>
      </c>
      <c r="C144" s="105">
        <f t="shared" si="9"/>
        <v>-1.5078511662161823E-2</v>
      </c>
      <c r="F144">
        <f t="shared" si="8"/>
        <v>-1.8878228332290931E-2</v>
      </c>
      <c r="H144" s="103">
        <v>41820</v>
      </c>
      <c r="I144" s="22">
        <v>1960.23124036384</v>
      </c>
      <c r="J144" s="105">
        <f t="shared" si="10"/>
        <v>-1.5078511662161823E-2</v>
      </c>
      <c r="K144" s="103">
        <v>41820</v>
      </c>
      <c r="L144" s="22">
        <v>17.59</v>
      </c>
      <c r="M144" s="105">
        <f t="shared" si="11"/>
        <v>-0.15406480955088114</v>
      </c>
    </row>
    <row r="145" spans="1:13" x14ac:dyDescent="0.15">
      <c r="A145" s="104">
        <v>41789</v>
      </c>
      <c r="B145" s="24">
        <v>1923.5726606583501</v>
      </c>
      <c r="C145" s="105">
        <f t="shared" si="9"/>
        <v>1.9057548724436237E-2</v>
      </c>
      <c r="F145">
        <f t="shared" si="8"/>
        <v>-2.0813511977459148E-2</v>
      </c>
      <c r="H145" s="104">
        <v>41789</v>
      </c>
      <c r="I145" s="24">
        <v>1923.5726606583501</v>
      </c>
      <c r="J145" s="105">
        <f t="shared" si="10"/>
        <v>1.9057548724436237E-2</v>
      </c>
      <c r="K145" s="104">
        <v>41789</v>
      </c>
      <c r="L145" s="24">
        <v>17.09</v>
      </c>
      <c r="M145" s="105">
        <f t="shared" si="11"/>
        <v>2.9256875365710942E-2</v>
      </c>
    </row>
    <row r="146" spans="1:13" x14ac:dyDescent="0.15">
      <c r="A146" s="103">
        <v>41759</v>
      </c>
      <c r="B146" s="22">
        <v>1883.9501304206101</v>
      </c>
      <c r="C146" s="105">
        <f t="shared" si="9"/>
        <v>2.1031623713359045E-2</v>
      </c>
      <c r="F146">
        <f t="shared" si="8"/>
        <v>-6.1842949958037232E-3</v>
      </c>
      <c r="H146" s="103">
        <v>41759</v>
      </c>
      <c r="I146" s="22">
        <v>1883.9501304206101</v>
      </c>
      <c r="J146" s="105">
        <f t="shared" si="10"/>
        <v>2.1031623713359045E-2</v>
      </c>
      <c r="K146" s="103">
        <v>41759</v>
      </c>
      <c r="L146" s="22">
        <v>16.989999999999998</v>
      </c>
      <c r="M146" s="105">
        <f t="shared" si="11"/>
        <v>5.8858151854032622E-3</v>
      </c>
    </row>
    <row r="147" spans="1:13" x14ac:dyDescent="0.15">
      <c r="A147" s="104">
        <v>41729</v>
      </c>
      <c r="B147" s="24">
        <v>1872.33517921729</v>
      </c>
      <c r="C147" s="105">
        <f t="shared" si="9"/>
        <v>6.203457229370421E-3</v>
      </c>
      <c r="F147">
        <f t="shared" si="8"/>
        <v>-6.9060034214986528E-3</v>
      </c>
      <c r="H147" s="104">
        <v>41729</v>
      </c>
      <c r="I147" s="24">
        <v>1872.33517921729</v>
      </c>
      <c r="J147" s="105">
        <f t="shared" si="10"/>
        <v>6.203457229370421E-3</v>
      </c>
      <c r="K147" s="104">
        <v>41729</v>
      </c>
      <c r="L147" s="24">
        <v>18.899999999999999</v>
      </c>
      <c r="M147" s="105">
        <f t="shared" si="11"/>
        <v>-0.10105820105820107</v>
      </c>
    </row>
    <row r="148" spans="1:13" x14ac:dyDescent="0.15">
      <c r="A148" s="103">
        <v>41698</v>
      </c>
      <c r="B148" s="22">
        <v>1859.44937199122</v>
      </c>
      <c r="C148" s="105">
        <f t="shared" si="9"/>
        <v>6.9299048525699103E-3</v>
      </c>
      <c r="F148">
        <f t="shared" si="8"/>
        <v>-4.2214746006183655E-2</v>
      </c>
      <c r="H148" s="103">
        <v>41698</v>
      </c>
      <c r="I148" s="22">
        <v>1859.44937199122</v>
      </c>
      <c r="J148" s="105">
        <f t="shared" si="10"/>
        <v>6.9299048525699103E-3</v>
      </c>
      <c r="K148" s="103">
        <v>41698</v>
      </c>
      <c r="L148" s="22">
        <v>16.7</v>
      </c>
      <c r="M148" s="105">
        <f t="shared" si="11"/>
        <v>0.13173652694610774</v>
      </c>
    </row>
    <row r="149" spans="1:13" x14ac:dyDescent="0.15">
      <c r="A149" s="104">
        <v>41670</v>
      </c>
      <c r="B149" s="24">
        <v>1782.5869667693801</v>
      </c>
      <c r="C149" s="105">
        <f t="shared" si="9"/>
        <v>4.3118460223648604E-2</v>
      </c>
      <c r="F149">
        <f t="shared" si="8"/>
        <v>3.6231215872360584E-2</v>
      </c>
      <c r="H149" s="104">
        <v>41670</v>
      </c>
      <c r="I149" s="24">
        <v>1782.5869667693801</v>
      </c>
      <c r="J149" s="105">
        <f t="shared" si="10"/>
        <v>4.3118460223648604E-2</v>
      </c>
      <c r="K149" s="104">
        <v>41670</v>
      </c>
      <c r="L149" s="24">
        <v>16.22</v>
      </c>
      <c r="M149" s="105">
        <f t="shared" si="11"/>
        <v>2.9593094944512975E-2</v>
      </c>
    </row>
    <row r="150" spans="1:13" x14ac:dyDescent="0.15">
      <c r="A150" s="103">
        <v>41639</v>
      </c>
      <c r="B150" s="22">
        <v>1848.3565209419401</v>
      </c>
      <c r="C150" s="105">
        <f t="shared" si="9"/>
        <v>-3.5582720880624912E-2</v>
      </c>
      <c r="F150">
        <f t="shared" si="8"/>
        <v>-2.3286143751860312E-2</v>
      </c>
      <c r="H150" s="103">
        <v>41639</v>
      </c>
      <c r="I150" s="22">
        <v>1848.3565209419401</v>
      </c>
      <c r="J150" s="105">
        <f t="shared" si="10"/>
        <v>-3.5582720880624912E-2</v>
      </c>
      <c r="K150" s="103">
        <v>41639</v>
      </c>
      <c r="L150" s="22">
        <v>17.62</v>
      </c>
      <c r="M150" s="105">
        <f t="shared" si="11"/>
        <v>-7.9455164585698193E-2</v>
      </c>
    </row>
    <row r="151" spans="1:13" x14ac:dyDescent="0.15">
      <c r="A151" s="104">
        <v>41607</v>
      </c>
      <c r="B151" s="24">
        <v>1805.81268860094</v>
      </c>
      <c r="C151" s="105">
        <f t="shared" si="9"/>
        <v>2.3559382769627723E-2</v>
      </c>
      <c r="F151">
        <f t="shared" si="8"/>
        <v>-2.7662130510617548E-2</v>
      </c>
      <c r="H151" s="104">
        <v>41607</v>
      </c>
      <c r="I151" s="24">
        <v>1805.81268860094</v>
      </c>
      <c r="J151" s="105">
        <f t="shared" si="10"/>
        <v>2.3559382769627723E-2</v>
      </c>
      <c r="K151" s="104">
        <v>41607</v>
      </c>
      <c r="L151" s="24">
        <v>18.38</v>
      </c>
      <c r="M151" s="105">
        <f t="shared" si="11"/>
        <v>-4.1349292709466703E-2</v>
      </c>
    </row>
    <row r="152" spans="1:13" x14ac:dyDescent="0.15">
      <c r="A152" s="103">
        <v>41578</v>
      </c>
      <c r="B152" s="22">
        <v>1756.5446336074899</v>
      </c>
      <c r="C152" s="105">
        <f t="shared" si="9"/>
        <v>2.8048279588698048E-2</v>
      </c>
      <c r="F152">
        <f t="shared" si="8"/>
        <v>-4.3634600834608545E-2</v>
      </c>
      <c r="H152" s="103">
        <v>41578</v>
      </c>
      <c r="I152" s="22">
        <v>1756.5446336074899</v>
      </c>
      <c r="J152" s="105">
        <f t="shared" si="10"/>
        <v>2.8048279588698048E-2</v>
      </c>
      <c r="K152" s="103">
        <v>41578</v>
      </c>
      <c r="L152" s="22">
        <v>17.420000000000002</v>
      </c>
      <c r="M152" s="105">
        <f t="shared" si="11"/>
        <v>5.5109070034443007E-2</v>
      </c>
    </row>
    <row r="153" spans="1:13" x14ac:dyDescent="0.15">
      <c r="A153" s="104">
        <v>41547</v>
      </c>
      <c r="B153" s="24">
        <v>1681.54666211215</v>
      </c>
      <c r="C153" s="105">
        <f t="shared" si="9"/>
        <v>4.4600588960842034E-2</v>
      </c>
      <c r="F153">
        <f t="shared" si="8"/>
        <v>-2.931285365018127E-2</v>
      </c>
      <c r="H153" s="104">
        <v>41547</v>
      </c>
      <c r="I153" s="24">
        <v>1681.54666211215</v>
      </c>
      <c r="J153" s="105">
        <f t="shared" si="10"/>
        <v>4.4600588960842034E-2</v>
      </c>
      <c r="K153" s="104">
        <v>41547</v>
      </c>
      <c r="L153" s="24">
        <v>19.27</v>
      </c>
      <c r="M153" s="105">
        <f t="shared" si="11"/>
        <v>-9.6004151530876908E-2</v>
      </c>
    </row>
    <row r="154" spans="1:13" x14ac:dyDescent="0.15">
      <c r="A154" s="103">
        <v>41516</v>
      </c>
      <c r="B154" s="22">
        <v>1632.9711524351001</v>
      </c>
      <c r="C154" s="105">
        <f t="shared" si="9"/>
        <v>2.9746704101057585E-2</v>
      </c>
      <c r="F154">
        <f t="shared" si="8"/>
        <v>3.1794599277911673E-2</v>
      </c>
      <c r="H154" s="103">
        <v>41516</v>
      </c>
      <c r="I154" s="22">
        <v>1632.9711524351001</v>
      </c>
      <c r="J154" s="105">
        <f t="shared" si="10"/>
        <v>2.9746704101057585E-2</v>
      </c>
      <c r="K154" s="103">
        <v>41516</v>
      </c>
      <c r="L154" s="22">
        <v>18.16</v>
      </c>
      <c r="M154" s="105">
        <f t="shared" si="11"/>
        <v>6.1123348017621114E-2</v>
      </c>
    </row>
    <row r="155" spans="1:13" x14ac:dyDescent="0.15">
      <c r="A155" s="104">
        <v>41486</v>
      </c>
      <c r="B155" s="24">
        <v>1685.7250158496699</v>
      </c>
      <c r="C155" s="105">
        <f t="shared" si="9"/>
        <v>-3.1294465537713999E-2</v>
      </c>
      <c r="F155">
        <f t="shared" si="8"/>
        <v>-4.8276290520556125E-2</v>
      </c>
      <c r="H155" s="104"/>
      <c r="I155" s="24"/>
      <c r="J155" s="105"/>
    </row>
    <row r="156" spans="1:13" x14ac:dyDescent="0.15">
      <c r="A156" s="103">
        <v>41453</v>
      </c>
      <c r="B156" s="22">
        <v>1606.27760773727</v>
      </c>
      <c r="C156" s="105">
        <f t="shared" si="9"/>
        <v>4.9460571279653094E-2</v>
      </c>
      <c r="F156">
        <f t="shared" si="8"/>
        <v>1.5115600573647378E-2</v>
      </c>
      <c r="H156" s="104"/>
      <c r="I156" s="24"/>
      <c r="J156" s="105"/>
    </row>
    <row r="157" spans="1:13" x14ac:dyDescent="0.15">
      <c r="A157" s="104">
        <v>41425</v>
      </c>
      <c r="B157" s="24">
        <v>1630.7418888158199</v>
      </c>
      <c r="C157" s="105">
        <f t="shared" si="9"/>
        <v>-1.5001933320247813E-2</v>
      </c>
      <c r="F157">
        <f t="shared" si="8"/>
        <v>-2.0554043362313607E-2</v>
      </c>
      <c r="H157" s="104"/>
      <c r="I157" s="24"/>
      <c r="J157" s="105"/>
    </row>
    <row r="158" spans="1:13" x14ac:dyDescent="0.15">
      <c r="A158" s="103">
        <v>41394</v>
      </c>
      <c r="B158" s="22">
        <v>1597.56567002478</v>
      </c>
      <c r="C158" s="105">
        <f t="shared" si="9"/>
        <v>2.076673241890914E-2</v>
      </c>
      <c r="F158">
        <f t="shared" si="8"/>
        <v>-1.7924082123904176E-2</v>
      </c>
      <c r="H158" s="104"/>
      <c r="I158" s="24"/>
      <c r="J158" s="105"/>
    </row>
    <row r="159" spans="1:13" x14ac:dyDescent="0.15">
      <c r="A159" s="104">
        <v>41361</v>
      </c>
      <c r="B159" s="24">
        <v>1569.18587246845</v>
      </c>
      <c r="C159" s="105">
        <f t="shared" si="9"/>
        <v>1.8085682553135914E-2</v>
      </c>
      <c r="F159">
        <f t="shared" si="8"/>
        <v>-3.5353880550197579E-2</v>
      </c>
      <c r="H159" s="104"/>
      <c r="I159" s="24"/>
      <c r="J159" s="105"/>
    </row>
    <row r="160" spans="1:13" x14ac:dyDescent="0.15">
      <c r="A160" s="103">
        <v>41333</v>
      </c>
      <c r="B160" s="22">
        <v>1514.6782675378399</v>
      </c>
      <c r="C160" s="105">
        <f t="shared" si="9"/>
        <v>3.5986259325694325E-2</v>
      </c>
      <c r="F160">
        <f t="shared" si="8"/>
        <v>-1.0998120314457278E-2</v>
      </c>
      <c r="H160" s="104"/>
      <c r="I160" s="24"/>
      <c r="J160" s="105"/>
    </row>
    <row r="161" spans="1:10" x14ac:dyDescent="0.15">
      <c r="A161" s="104">
        <v>41305</v>
      </c>
      <c r="B161" s="24">
        <v>1498.11092552077</v>
      </c>
      <c r="C161" s="105">
        <f t="shared" si="9"/>
        <v>1.1058821970282877E-2</v>
      </c>
      <c r="F161">
        <f t="shared" si="8"/>
        <v>-4.9199796192582891E-2</v>
      </c>
      <c r="H161" s="104"/>
      <c r="I161" s="24"/>
      <c r="J161" s="105"/>
    </row>
    <row r="162" spans="1:10" x14ac:dyDescent="0.15">
      <c r="A162" s="103">
        <v>41274</v>
      </c>
      <c r="B162" s="22">
        <v>1426.18797808056</v>
      </c>
      <c r="C162" s="105">
        <f t="shared" si="9"/>
        <v>5.0430201730495408E-2</v>
      </c>
      <c r="F162">
        <f t="shared" si="8"/>
        <v>-7.0409208461688147E-3</v>
      </c>
      <c r="H162" s="104"/>
      <c r="I162" s="24"/>
      <c r="J162" s="105"/>
    </row>
    <row r="163" spans="1:10" x14ac:dyDescent="0.15">
      <c r="A163" s="104">
        <v>41243</v>
      </c>
      <c r="B163" s="24">
        <v>1416.18156991763</v>
      </c>
      <c r="C163" s="105">
        <f t="shared" si="9"/>
        <v>7.065766406995422E-3</v>
      </c>
      <c r="F163">
        <f t="shared" si="8"/>
        <v>-2.8452028625217821E-3</v>
      </c>
      <c r="H163" s="104"/>
      <c r="I163" s="24"/>
      <c r="J163" s="105"/>
    </row>
    <row r="164" spans="1:10" x14ac:dyDescent="0.15">
      <c r="A164" s="103">
        <v>41213</v>
      </c>
      <c r="B164" s="22">
        <v>1412.15797275045</v>
      </c>
      <c r="C164" s="105">
        <f t="shared" si="9"/>
        <v>2.8492542936561713E-3</v>
      </c>
      <c r="F164">
        <f t="shared" si="8"/>
        <v>1.9992396997596387E-2</v>
      </c>
      <c r="H164" s="104"/>
      <c r="I164" s="24"/>
      <c r="J164" s="105"/>
    </row>
    <row r="165" spans="1:10" x14ac:dyDescent="0.15">
      <c r="A165" s="104">
        <v>41180</v>
      </c>
      <c r="B165" s="24">
        <v>1440.67450263613</v>
      </c>
      <c r="C165" s="105">
        <f t="shared" si="9"/>
        <v>-1.9793874212044985E-2</v>
      </c>
      <c r="F165">
        <f t="shared" si="8"/>
        <v>-2.3953261667367397E-2</v>
      </c>
      <c r="H165" s="104"/>
      <c r="I165" s="24"/>
      <c r="J165" s="105"/>
    </row>
    <row r="166" spans="1:10" x14ac:dyDescent="0.15">
      <c r="A166" s="103">
        <v>41152</v>
      </c>
      <c r="B166" s="22">
        <v>1406.5756688014301</v>
      </c>
      <c r="C166" s="105">
        <f t="shared" si="9"/>
        <v>2.4242445387780795E-2</v>
      </c>
      <c r="F166">
        <f t="shared" si="8"/>
        <v>-1.9564683118160637E-2</v>
      </c>
      <c r="H166" s="104"/>
      <c r="I166" s="24"/>
      <c r="J166" s="105"/>
    </row>
    <row r="167" spans="1:10" x14ac:dyDescent="0.15">
      <c r="A167" s="104">
        <v>41121</v>
      </c>
      <c r="B167" s="24">
        <v>1379.3239167787001</v>
      </c>
      <c r="C167" s="105">
        <f t="shared" si="9"/>
        <v>1.9757325811020708E-2</v>
      </c>
      <c r="F167">
        <f t="shared" si="8"/>
        <v>-1.2522709621110018E-2</v>
      </c>
      <c r="H167" s="104"/>
      <c r="I167" s="24"/>
      <c r="J167" s="105"/>
    </row>
    <row r="168" spans="1:10" x14ac:dyDescent="0.15">
      <c r="A168" s="103">
        <v>41089</v>
      </c>
      <c r="B168" s="22">
        <v>1362.1587454406599</v>
      </c>
      <c r="C168" s="105">
        <f t="shared" si="9"/>
        <v>1.2601447074721991E-2</v>
      </c>
      <c r="F168">
        <f t="shared" si="8"/>
        <v>-3.8792497888209446E-2</v>
      </c>
      <c r="H168" s="104"/>
      <c r="I168" s="24"/>
      <c r="J168" s="105"/>
    </row>
    <row r="169" spans="1:10" x14ac:dyDescent="0.15">
      <c r="A169" s="104">
        <v>41060</v>
      </c>
      <c r="B169" s="24">
        <v>1310.32900722607</v>
      </c>
      <c r="C169" s="105">
        <f t="shared" si="9"/>
        <v>3.9554751462239295E-2</v>
      </c>
      <c r="F169">
        <f t="shared" si="8"/>
        <v>6.4701435565597709E-2</v>
      </c>
      <c r="H169" s="104"/>
      <c r="I169" s="24"/>
      <c r="J169" s="105"/>
    </row>
    <row r="170" spans="1:10" x14ac:dyDescent="0.15">
      <c r="A170" s="103">
        <v>41029</v>
      </c>
      <c r="B170" s="22">
        <v>1397.91199585765</v>
      </c>
      <c r="C170" s="105">
        <f t="shared" si="9"/>
        <v>-6.2652719835804796E-2</v>
      </c>
      <c r="F170">
        <f t="shared" si="8"/>
        <v>7.5227979704886126E-3</v>
      </c>
      <c r="H170" s="104"/>
      <c r="I170" s="24"/>
      <c r="J170" s="105"/>
    </row>
    <row r="171" spans="1:10" x14ac:dyDescent="0.15">
      <c r="A171" s="104">
        <v>40998</v>
      </c>
      <c r="B171" s="24">
        <v>1408.46786041942</v>
      </c>
      <c r="C171" s="105">
        <f t="shared" si="9"/>
        <v>-7.4945725482345391E-3</v>
      </c>
      <c r="F171">
        <f t="shared" si="8"/>
        <v>-3.0848028250809789E-2</v>
      </c>
      <c r="H171" s="104"/>
      <c r="I171" s="24"/>
      <c r="J171" s="105"/>
    </row>
    <row r="172" spans="1:10" x14ac:dyDescent="0.15">
      <c r="A172" s="103">
        <v>40968</v>
      </c>
      <c r="B172" s="22">
        <v>1365.6827155607</v>
      </c>
      <c r="C172" s="105">
        <f t="shared" si="9"/>
        <v>3.1328759140920974E-2</v>
      </c>
      <c r="F172">
        <f t="shared" si="8"/>
        <v>-3.9789626554946056E-2</v>
      </c>
      <c r="H172" s="104"/>
      <c r="I172" s="24"/>
      <c r="J172" s="105"/>
    </row>
    <row r="173" spans="1:10" x14ac:dyDescent="0.15">
      <c r="A173" s="104">
        <v>40939</v>
      </c>
      <c r="B173" s="24">
        <v>1312.40959743231</v>
      </c>
      <c r="C173" s="105">
        <f t="shared" si="9"/>
        <v>4.0591838274131251E-2</v>
      </c>
      <c r="F173">
        <f t="shared" si="8"/>
        <v>-4.2655871879655118E-2</v>
      </c>
      <c r="H173" s="104"/>
      <c r="I173" s="24"/>
      <c r="J173" s="105"/>
    </row>
    <row r="174" spans="1:10" x14ac:dyDescent="0.15">
      <c r="A174" s="103">
        <v>40907</v>
      </c>
      <c r="B174" s="22">
        <v>1257.60480453436</v>
      </c>
      <c r="C174" s="105">
        <f t="shared" si="9"/>
        <v>4.3578708271746723E-2</v>
      </c>
      <c r="F174">
        <f t="shared" si="8"/>
        <v>-8.5003200961961366E-3</v>
      </c>
      <c r="H174" s="104"/>
      <c r="I174" s="24"/>
      <c r="J174" s="105"/>
    </row>
    <row r="175" spans="1:10" x14ac:dyDescent="0.15">
      <c r="A175" s="104">
        <v>40877</v>
      </c>
      <c r="B175" s="24">
        <v>1246.9600670741199</v>
      </c>
      <c r="C175" s="105">
        <f t="shared" si="9"/>
        <v>8.5365504007012972E-3</v>
      </c>
      <c r="F175">
        <f t="shared" si="8"/>
        <v>5.0684490767715423E-3</v>
      </c>
      <c r="H175" s="104"/>
      <c r="I175" s="24"/>
      <c r="J175" s="105"/>
    </row>
    <row r="176" spans="1:10" x14ac:dyDescent="0.15">
      <c r="A176" s="103">
        <v>40847</v>
      </c>
      <c r="B176" s="22">
        <v>1253.29626445744</v>
      </c>
      <c r="C176" s="105">
        <f t="shared" si="9"/>
        <v>-5.0556261619937254E-3</v>
      </c>
      <c r="F176">
        <f t="shared" si="8"/>
        <v>-0.10230329282299058</v>
      </c>
      <c r="H176" s="104"/>
      <c r="I176" s="24"/>
      <c r="J176" s="105"/>
    </row>
    <row r="177" spans="1:10" x14ac:dyDescent="0.15">
      <c r="A177" s="104">
        <v>40816</v>
      </c>
      <c r="B177" s="24">
        <v>1131.4203600833</v>
      </c>
      <c r="C177" s="105">
        <f t="shared" si="9"/>
        <v>0.10771938412454142</v>
      </c>
      <c r="F177">
        <f t="shared" si="8"/>
        <v>7.4469782144519922E-2</v>
      </c>
      <c r="H177" s="104"/>
      <c r="I177" s="24"/>
      <c r="J177" s="105"/>
    </row>
    <row r="178" spans="1:10" x14ac:dyDescent="0.15">
      <c r="A178" s="103">
        <v>40786</v>
      </c>
      <c r="B178" s="22">
        <v>1218.8936235941501</v>
      </c>
      <c r="C178" s="105">
        <f t="shared" si="9"/>
        <v>-7.1764477077923966E-2</v>
      </c>
      <c r="F178">
        <f t="shared" si="8"/>
        <v>5.8466689397427135E-2</v>
      </c>
      <c r="H178" s="104"/>
      <c r="I178" s="24"/>
      <c r="J178" s="105"/>
    </row>
    <row r="179" spans="1:10" x14ac:dyDescent="0.15">
      <c r="A179" s="104">
        <v>40753</v>
      </c>
      <c r="B179" s="24">
        <v>1292.2828050749199</v>
      </c>
      <c r="C179" s="105">
        <f t="shared" si="9"/>
        <v>-5.6790341241532726E-2</v>
      </c>
      <c r="F179">
        <f t="shared" si="8"/>
        <v>2.1705476890943296E-2</v>
      </c>
      <c r="H179" s="104"/>
      <c r="I179" s="24"/>
      <c r="J179" s="105"/>
    </row>
    <row r="180" spans="1:10" x14ac:dyDescent="0.15">
      <c r="A180" s="103">
        <v>40724</v>
      </c>
      <c r="B180" s="22">
        <v>1320.63904926284</v>
      </c>
      <c r="C180" s="105">
        <f t="shared" si="9"/>
        <v>-2.1471608161024842E-2</v>
      </c>
      <c r="F180">
        <f t="shared" si="8"/>
        <v>1.8424972404053632E-2</v>
      </c>
      <c r="H180" s="104"/>
      <c r="I180" s="24"/>
      <c r="J180" s="105"/>
    </row>
    <row r="181" spans="1:10" x14ac:dyDescent="0.15">
      <c r="A181" s="104">
        <v>40694</v>
      </c>
      <c r="B181" s="24">
        <v>1345.1973354244501</v>
      </c>
      <c r="C181" s="105">
        <f t="shared" si="9"/>
        <v>-1.8256270299451073E-2</v>
      </c>
      <c r="F181">
        <f t="shared" si="8"/>
        <v>1.3596495624359274E-2</v>
      </c>
      <c r="H181" s="104"/>
      <c r="I181" s="24"/>
      <c r="J181" s="105"/>
    </row>
    <row r="182" spans="1:10" x14ac:dyDescent="0.15">
      <c r="A182" s="103">
        <v>40662</v>
      </c>
      <c r="B182" s="22">
        <v>1363.6122103048399</v>
      </c>
      <c r="C182" s="105">
        <f t="shared" si="9"/>
        <v>-1.3504480776300093E-2</v>
      </c>
      <c r="F182">
        <f t="shared" si="8"/>
        <v>-2.810101308965416E-2</v>
      </c>
      <c r="H182" s="104"/>
      <c r="I182" s="24"/>
      <c r="J182" s="105"/>
    </row>
    <row r="183" spans="1:10" x14ac:dyDescent="0.15">
      <c r="A183" s="104">
        <v>40633</v>
      </c>
      <c r="B183" s="24">
        <v>1325.82671751112</v>
      </c>
      <c r="C183" s="105">
        <f t="shared" si="9"/>
        <v>2.8499571093763956E-2</v>
      </c>
      <c r="F183">
        <f t="shared" si="8"/>
        <v>1.0534848836720712E-3</v>
      </c>
      <c r="H183" s="104"/>
      <c r="I183" s="24"/>
      <c r="J183" s="105"/>
    </row>
    <row r="184" spans="1:10" x14ac:dyDescent="0.15">
      <c r="A184" s="103">
        <v>40602</v>
      </c>
      <c r="B184" s="22">
        <v>1327.22419189621</v>
      </c>
      <c r="C184" s="105">
        <f t="shared" si="9"/>
        <v>-1.052930163285646E-3</v>
      </c>
      <c r="F184">
        <f t="shared" si="8"/>
        <v>-3.1459044141750735E-2</v>
      </c>
      <c r="H184" s="104"/>
      <c r="I184" s="24"/>
      <c r="J184" s="105"/>
    </row>
    <row r="185" spans="1:10" x14ac:dyDescent="0.15">
      <c r="A185" s="104">
        <v>40574</v>
      </c>
      <c r="B185" s="24">
        <v>1286.1209122411799</v>
      </c>
      <c r="C185" s="105">
        <f t="shared" si="9"/>
        <v>3.1959109959112594E-2</v>
      </c>
      <c r="F185">
        <f t="shared" si="8"/>
        <v>-2.2396884678054129E-2</v>
      </c>
      <c r="H185" s="104"/>
      <c r="I185" s="24"/>
      <c r="J185" s="105"/>
    </row>
    <row r="186" spans="1:10" x14ac:dyDescent="0.15">
      <c r="A186" s="103">
        <v>40543</v>
      </c>
      <c r="B186" s="22">
        <v>1257.63598797798</v>
      </c>
      <c r="C186" s="105">
        <f t="shared" si="9"/>
        <v>2.2649577886998767E-2</v>
      </c>
      <c r="F186">
        <f t="shared" si="8"/>
        <v>-6.3250801329256284E-2</v>
      </c>
      <c r="H186" s="104"/>
      <c r="I186" s="24"/>
      <c r="J186" s="105"/>
    </row>
    <row r="187" spans="1:10" x14ac:dyDescent="0.15">
      <c r="A187" s="104">
        <v>40512</v>
      </c>
      <c r="B187" s="24">
        <v>1180.5529817991501</v>
      </c>
      <c r="C187" s="105">
        <f t="shared" si="9"/>
        <v>6.5293982876868634E-2</v>
      </c>
      <c r="F187">
        <f t="shared" si="8"/>
        <v>2.2884684237384567E-3</v>
      </c>
      <c r="H187" s="104"/>
      <c r="I187" s="24"/>
      <c r="J187" s="105"/>
    </row>
    <row r="188" spans="1:10" x14ac:dyDescent="0.15">
      <c r="A188" s="103">
        <v>40480</v>
      </c>
      <c r="B188" s="22">
        <v>1183.2577337098</v>
      </c>
      <c r="C188" s="105">
        <f t="shared" si="9"/>
        <v>-2.2858518762179747E-3</v>
      </c>
      <c r="F188">
        <f t="shared" si="8"/>
        <v>-3.6190071653211656E-2</v>
      </c>
      <c r="H188" s="104"/>
      <c r="I188" s="24"/>
      <c r="J188" s="105"/>
    </row>
    <row r="189" spans="1:10" x14ac:dyDescent="0.15">
      <c r="A189" s="104">
        <v>40451</v>
      </c>
      <c r="B189" s="24">
        <v>1141.20115690593</v>
      </c>
      <c r="C189" s="105">
        <f t="shared" si="9"/>
        <v>3.6852904108418093E-2</v>
      </c>
      <c r="F189">
        <f t="shared" si="8"/>
        <v>-8.3932865746526183E-2</v>
      </c>
      <c r="H189" s="104"/>
      <c r="I189" s="24"/>
      <c r="J189" s="105"/>
    </row>
    <row r="190" spans="1:10" x14ac:dyDescent="0.15">
      <c r="A190" s="103">
        <v>40421</v>
      </c>
      <c r="B190" s="22">
        <v>1049.32645653493</v>
      </c>
      <c r="C190" s="105">
        <f t="shared" si="9"/>
        <v>8.755587910590501E-2</v>
      </c>
      <c r="F190">
        <f t="shared" si="8"/>
        <v>4.8612776657206584E-2</v>
      </c>
      <c r="H190" s="104"/>
      <c r="I190" s="24"/>
      <c r="J190" s="105"/>
    </row>
    <row r="191" spans="1:10" x14ac:dyDescent="0.15">
      <c r="A191" s="104">
        <v>40389</v>
      </c>
      <c r="B191" s="24">
        <v>1101.59735241522</v>
      </c>
      <c r="C191" s="105">
        <f t="shared" si="9"/>
        <v>-4.7450092146361478E-2</v>
      </c>
      <c r="F191">
        <f t="shared" si="8"/>
        <v>-6.6513299051229186E-2</v>
      </c>
      <c r="H191" s="104"/>
      <c r="I191" s="24"/>
      <c r="J191" s="105"/>
    </row>
    <row r="192" spans="1:10" x14ac:dyDescent="0.15">
      <c r="A192" s="103">
        <v>40359</v>
      </c>
      <c r="B192" s="22">
        <v>1030.71008330309</v>
      </c>
      <c r="C192" s="105">
        <f t="shared" si="9"/>
        <v>6.8775177676499946E-2</v>
      </c>
      <c r="F192">
        <f t="shared" si="8"/>
        <v>5.5384484458139295E-2</v>
      </c>
      <c r="H192" s="104"/>
      <c r="I192" s="24"/>
      <c r="J192" s="105"/>
    </row>
    <row r="193" spans="1:10" x14ac:dyDescent="0.15">
      <c r="A193" s="104">
        <v>40326</v>
      </c>
      <c r="B193" s="24">
        <v>1089.40584406874</v>
      </c>
      <c r="C193" s="105">
        <f t="shared" si="9"/>
        <v>-5.3878690926084633E-2</v>
      </c>
      <c r="F193">
        <f t="shared" si="8"/>
        <v>8.5534943081510717E-2</v>
      </c>
      <c r="H193" s="104"/>
      <c r="I193" s="24"/>
      <c r="J193" s="105"/>
    </row>
    <row r="194" spans="1:10" x14ac:dyDescent="0.15">
      <c r="A194" s="103">
        <v>40298</v>
      </c>
      <c r="B194" s="22">
        <v>1186.6893765068</v>
      </c>
      <c r="C194" s="105">
        <f t="shared" si="9"/>
        <v>-8.1978935991176491E-2</v>
      </c>
      <c r="F194">
        <f t="shared" si="8"/>
        <v>-1.4649923009940119E-2</v>
      </c>
      <c r="H194" s="104"/>
      <c r="I194" s="24"/>
      <c r="J194" s="105"/>
    </row>
    <row r="195" spans="1:10" x14ac:dyDescent="0.15">
      <c r="A195" s="104">
        <v>40268</v>
      </c>
      <c r="B195" s="24">
        <v>1169.43119269817</v>
      </c>
      <c r="C195" s="105">
        <f t="shared" si="9"/>
        <v>1.4757759085261888E-2</v>
      </c>
      <c r="F195">
        <f t="shared" ref="F195:F242" si="12">LN(B196/B195)</f>
        <v>-5.7130729672204457E-2</v>
      </c>
      <c r="H195" s="104"/>
      <c r="I195" s="24"/>
      <c r="J195" s="105"/>
    </row>
    <row r="196" spans="1:10" x14ac:dyDescent="0.15">
      <c r="A196" s="103">
        <v>40235</v>
      </c>
      <c r="B196" s="22">
        <v>1104.4933696603</v>
      </c>
      <c r="C196" s="105">
        <f t="shared" ref="C196:C242" si="13">(B195-B196)/B196</f>
        <v>5.8794217169309375E-2</v>
      </c>
      <c r="F196">
        <f t="shared" si="12"/>
        <v>-2.8118386902384721E-2</v>
      </c>
      <c r="H196" s="104"/>
      <c r="I196" s="24"/>
      <c r="J196" s="105"/>
    </row>
    <row r="197" spans="1:10" x14ac:dyDescent="0.15">
      <c r="A197" s="104">
        <v>40207</v>
      </c>
      <c r="B197" s="24">
        <v>1073.8693642735</v>
      </c>
      <c r="C197" s="105">
        <f t="shared" si="13"/>
        <v>2.8517440207932513E-2</v>
      </c>
      <c r="F197">
        <f t="shared" si="12"/>
        <v>3.7678136989900218E-2</v>
      </c>
      <c r="H197" s="104"/>
      <c r="I197" s="24"/>
      <c r="J197" s="105"/>
    </row>
    <row r="198" spans="1:10" x14ac:dyDescent="0.15">
      <c r="A198" s="103">
        <v>40178</v>
      </c>
      <c r="B198" s="22">
        <v>1115.10268063073</v>
      </c>
      <c r="C198" s="105">
        <f t="shared" si="13"/>
        <v>-3.6977147551925375E-2</v>
      </c>
      <c r="F198">
        <f t="shared" si="12"/>
        <v>-1.7617353727605856E-2</v>
      </c>
      <c r="H198" s="104"/>
      <c r="I198" s="24"/>
      <c r="J198" s="105"/>
    </row>
    <row r="199" spans="1:10" x14ac:dyDescent="0.15">
      <c r="A199" s="104">
        <v>40147</v>
      </c>
      <c r="B199" s="24">
        <v>1095.6295583604101</v>
      </c>
      <c r="C199" s="105">
        <f t="shared" si="13"/>
        <v>1.777345465146182E-2</v>
      </c>
      <c r="F199">
        <f t="shared" si="12"/>
        <v>-5.5774233817341708E-2</v>
      </c>
      <c r="H199" s="104"/>
      <c r="I199" s="24"/>
      <c r="J199" s="105"/>
    </row>
    <row r="200" spans="1:10" x14ac:dyDescent="0.15">
      <c r="A200" s="103">
        <v>40116</v>
      </c>
      <c r="B200" s="22">
        <v>1036.1945371475999</v>
      </c>
      <c r="C200" s="105">
        <f t="shared" si="13"/>
        <v>5.7358940895809792E-2</v>
      </c>
      <c r="F200">
        <f t="shared" si="12"/>
        <v>1.995412238928055E-2</v>
      </c>
      <c r="H200" s="104"/>
      <c r="I200" s="24"/>
      <c r="J200" s="105"/>
    </row>
    <row r="201" spans="1:10" x14ac:dyDescent="0.15">
      <c r="A201" s="104">
        <v>40086</v>
      </c>
      <c r="B201" s="24">
        <v>1057.0785579753399</v>
      </c>
      <c r="C201" s="105">
        <f t="shared" si="13"/>
        <v>-1.975635648852803E-2</v>
      </c>
      <c r="F201">
        <f t="shared" si="12"/>
        <v>-3.5094196977330398E-2</v>
      </c>
      <c r="H201" s="104"/>
      <c r="I201" s="24"/>
      <c r="J201" s="105"/>
    </row>
    <row r="202" spans="1:10" x14ac:dyDescent="0.15">
      <c r="A202" s="103">
        <v>40056</v>
      </c>
      <c r="B202" s="22">
        <v>1020.6246367067801</v>
      </c>
      <c r="C202" s="105">
        <f t="shared" si="13"/>
        <v>3.5717265640563656E-2</v>
      </c>
      <c r="F202">
        <f t="shared" si="12"/>
        <v>-3.3018747516124672E-2</v>
      </c>
      <c r="H202" s="104"/>
      <c r="I202" s="24"/>
      <c r="J202" s="105"/>
    </row>
    <row r="203" spans="1:10" x14ac:dyDescent="0.15">
      <c r="A203" s="104">
        <v>40025</v>
      </c>
      <c r="B203" s="24">
        <v>987.47517800000003</v>
      </c>
      <c r="C203" s="105">
        <f t="shared" si="13"/>
        <v>3.3569915928337413E-2</v>
      </c>
      <c r="F203">
        <f t="shared" si="12"/>
        <v>-7.1512805997324624E-2</v>
      </c>
      <c r="H203" s="104"/>
      <c r="I203" s="24"/>
      <c r="J203" s="105"/>
    </row>
    <row r="204" spans="1:10" x14ac:dyDescent="0.15">
      <c r="A204" s="103">
        <v>39994</v>
      </c>
      <c r="B204" s="22">
        <v>919.32394199999999</v>
      </c>
      <c r="C204" s="105">
        <f t="shared" si="13"/>
        <v>7.4131905943552637E-2</v>
      </c>
      <c r="F204">
        <f t="shared" si="12"/>
        <v>-2.0025305922753285E-4</v>
      </c>
      <c r="H204" s="104"/>
      <c r="I204" s="24"/>
      <c r="J204" s="105"/>
    </row>
    <row r="205" spans="1:10" x14ac:dyDescent="0.15">
      <c r="A205" s="104">
        <v>39962</v>
      </c>
      <c r="B205" s="24">
        <v>919.13986299999999</v>
      </c>
      <c r="C205" s="105">
        <f t="shared" si="13"/>
        <v>2.0027311120984098E-4</v>
      </c>
      <c r="F205">
        <f t="shared" si="12"/>
        <v>-5.1723584176757494E-2</v>
      </c>
      <c r="H205" s="104"/>
      <c r="I205" s="24"/>
      <c r="J205" s="105"/>
    </row>
    <row r="206" spans="1:10" x14ac:dyDescent="0.15">
      <c r="A206" s="103">
        <v>39933</v>
      </c>
      <c r="B206" s="22">
        <v>872.80722900000001</v>
      </c>
      <c r="C206" s="105">
        <f t="shared" si="13"/>
        <v>5.3084613028565993E-2</v>
      </c>
      <c r="F206">
        <f t="shared" si="12"/>
        <v>-8.9773044532472007E-2</v>
      </c>
      <c r="H206" s="104"/>
      <c r="I206" s="24"/>
      <c r="J206" s="105"/>
    </row>
    <row r="207" spans="1:10" x14ac:dyDescent="0.15">
      <c r="A207" s="104">
        <v>39903</v>
      </c>
      <c r="B207" s="24">
        <v>797.866805</v>
      </c>
      <c r="C207" s="105">
        <f t="shared" si="13"/>
        <v>9.3925983046756797E-2</v>
      </c>
      <c r="F207">
        <f t="shared" si="12"/>
        <v>-8.194576345527313E-2</v>
      </c>
      <c r="H207" s="104"/>
      <c r="I207" s="24"/>
      <c r="J207" s="105"/>
    </row>
    <row r="208" spans="1:10" x14ac:dyDescent="0.15">
      <c r="A208" s="103">
        <v>39871</v>
      </c>
      <c r="B208" s="22">
        <v>735.09218199999998</v>
      </c>
      <c r="C208" s="105">
        <f t="shared" si="13"/>
        <v>8.5396940053431319E-2</v>
      </c>
      <c r="F208">
        <f t="shared" si="12"/>
        <v>0.11645557698033349</v>
      </c>
      <c r="H208" s="104"/>
      <c r="I208" s="24"/>
      <c r="J208" s="105"/>
    </row>
    <row r="209" spans="1:10" x14ac:dyDescent="0.15">
      <c r="A209" s="104">
        <v>39843</v>
      </c>
      <c r="B209" s="24">
        <v>825.88165300000003</v>
      </c>
      <c r="C209" s="105">
        <f t="shared" si="13"/>
        <v>-0.10993036432061296</v>
      </c>
      <c r="F209">
        <f t="shared" si="12"/>
        <v>8.9553332100872962E-2</v>
      </c>
      <c r="H209" s="104"/>
      <c r="I209" s="24"/>
      <c r="J209" s="105"/>
    </row>
    <row r="210" spans="1:10" x14ac:dyDescent="0.15">
      <c r="A210" s="103">
        <v>39813</v>
      </c>
      <c r="B210" s="22">
        <v>903.25492099999997</v>
      </c>
      <c r="C210" s="105">
        <f t="shared" si="13"/>
        <v>-8.5660499822507966E-2</v>
      </c>
      <c r="F210">
        <f t="shared" si="12"/>
        <v>-7.7997794442298063E-3</v>
      </c>
      <c r="H210" s="104"/>
      <c r="I210" s="24"/>
      <c r="J210" s="105"/>
    </row>
    <row r="211" spans="1:10" x14ac:dyDescent="0.15">
      <c r="A211" s="104">
        <v>39780</v>
      </c>
      <c r="B211" s="24">
        <v>896.23713599999996</v>
      </c>
      <c r="C211" s="105">
        <f t="shared" si="13"/>
        <v>7.8302769636628897E-3</v>
      </c>
      <c r="F211">
        <f t="shared" si="12"/>
        <v>7.780546456776101E-2</v>
      </c>
      <c r="H211" s="104"/>
      <c r="I211" s="24"/>
      <c r="J211" s="105"/>
    </row>
    <row r="212" spans="1:10" x14ac:dyDescent="0.15">
      <c r="A212" s="103">
        <v>39752</v>
      </c>
      <c r="B212" s="22">
        <v>968.75379999999996</v>
      </c>
      <c r="C212" s="105">
        <f t="shared" si="13"/>
        <v>-7.4855617598609675E-2</v>
      </c>
      <c r="F212">
        <f t="shared" si="12"/>
        <v>0.18563384992454243</v>
      </c>
      <c r="H212" s="104"/>
      <c r="I212" s="24"/>
      <c r="J212" s="105"/>
    </row>
    <row r="213" spans="1:10" x14ac:dyDescent="0.15">
      <c r="A213" s="104">
        <v>39721</v>
      </c>
      <c r="B213" s="24">
        <v>1166.3615</v>
      </c>
      <c r="C213" s="105">
        <f t="shared" si="13"/>
        <v>-0.16942234461614175</v>
      </c>
      <c r="F213">
        <f t="shared" si="12"/>
        <v>9.5177941668622007E-2</v>
      </c>
      <c r="H213" s="104"/>
      <c r="I213" s="24"/>
      <c r="J213" s="105"/>
    </row>
    <row r="214" spans="1:10" x14ac:dyDescent="0.15">
      <c r="A214" s="103">
        <v>39689</v>
      </c>
      <c r="B214" s="22">
        <v>1282.828</v>
      </c>
      <c r="C214" s="105">
        <f t="shared" si="13"/>
        <v>-9.0788866473135915E-2</v>
      </c>
      <c r="F214">
        <f t="shared" si="12"/>
        <v>-1.2114528280316127E-2</v>
      </c>
      <c r="H214" s="104"/>
      <c r="I214" s="24"/>
      <c r="J214" s="105"/>
    </row>
    <row r="215" spans="1:10" x14ac:dyDescent="0.15">
      <c r="A215" s="104">
        <v>39660</v>
      </c>
      <c r="B215" s="24">
        <v>1267.3809000000001</v>
      </c>
      <c r="C215" s="105">
        <f t="shared" si="13"/>
        <v>1.2188206402668576E-2</v>
      </c>
      <c r="F215">
        <f t="shared" si="12"/>
        <v>9.9085278598664474E-3</v>
      </c>
      <c r="H215" s="104"/>
      <c r="I215" s="24"/>
      <c r="J215" s="105"/>
    </row>
    <row r="216" spans="1:10" x14ac:dyDescent="0.15">
      <c r="A216" s="103">
        <v>39629</v>
      </c>
      <c r="B216" s="22">
        <v>1280.0011999999999</v>
      </c>
      <c r="C216" s="105">
        <f t="shared" si="13"/>
        <v>-9.8596001316247333E-3</v>
      </c>
      <c r="F216">
        <f t="shared" si="12"/>
        <v>8.9880256425473398E-2</v>
      </c>
      <c r="H216" s="104"/>
      <c r="I216" s="24"/>
      <c r="J216" s="105"/>
    </row>
    <row r="217" spans="1:10" x14ac:dyDescent="0.15">
      <c r="A217" s="104">
        <v>39598</v>
      </c>
      <c r="B217" s="24">
        <v>1400.3767</v>
      </c>
      <c r="C217" s="105">
        <f t="shared" si="13"/>
        <v>-8.5959370789302686E-2</v>
      </c>
      <c r="F217">
        <f t="shared" si="12"/>
        <v>-1.0617756149583751E-2</v>
      </c>
      <c r="H217" s="104"/>
      <c r="I217" s="24"/>
      <c r="J217" s="105"/>
    </row>
    <row r="218" spans="1:10" x14ac:dyDescent="0.15">
      <c r="A218" s="103">
        <v>39568</v>
      </c>
      <c r="B218" s="22">
        <v>1385.5864999999999</v>
      </c>
      <c r="C218" s="105">
        <f t="shared" si="13"/>
        <v>1.0674324554980972E-2</v>
      </c>
      <c r="F218">
        <f t="shared" si="12"/>
        <v>-4.6445767557943517E-2</v>
      </c>
      <c r="H218" s="104"/>
      <c r="I218" s="24"/>
      <c r="J218" s="105"/>
    </row>
    <row r="219" spans="1:10" x14ac:dyDescent="0.15">
      <c r="A219" s="104">
        <v>39538</v>
      </c>
      <c r="B219" s="24">
        <v>1322.7035000000001</v>
      </c>
      <c r="C219" s="105">
        <f t="shared" si="13"/>
        <v>4.7541266806959991E-2</v>
      </c>
      <c r="F219">
        <f t="shared" si="12"/>
        <v>5.9769455586024915E-3</v>
      </c>
      <c r="H219" s="104"/>
      <c r="I219" s="24"/>
      <c r="J219" s="105"/>
    </row>
    <row r="220" spans="1:10" x14ac:dyDescent="0.15">
      <c r="A220" s="103">
        <v>39507</v>
      </c>
      <c r="B220" s="22">
        <v>1330.6329000000001</v>
      </c>
      <c r="C220" s="105">
        <f t="shared" si="13"/>
        <v>-5.9591191529985363E-3</v>
      </c>
      <c r="F220">
        <f t="shared" si="12"/>
        <v>3.5375497303968051E-2</v>
      </c>
      <c r="H220" s="104"/>
      <c r="I220" s="24"/>
      <c r="J220" s="105"/>
    </row>
    <row r="221" spans="1:10" x14ac:dyDescent="0.15">
      <c r="A221" s="104">
        <v>39478</v>
      </c>
      <c r="B221" s="24">
        <v>1378.5472</v>
      </c>
      <c r="C221" s="105">
        <f t="shared" si="13"/>
        <v>-3.4757097907129997E-2</v>
      </c>
      <c r="F221">
        <f t="shared" si="12"/>
        <v>6.3112671765533715E-2</v>
      </c>
      <c r="H221" s="104"/>
      <c r="I221" s="24"/>
      <c r="J221" s="105"/>
    </row>
    <row r="222" spans="1:10" x14ac:dyDescent="0.15">
      <c r="A222" s="103">
        <v>39447</v>
      </c>
      <c r="B222" s="22">
        <v>1468.3552</v>
      </c>
      <c r="C222" s="105">
        <f t="shared" si="13"/>
        <v>-6.1162312770098128E-2</v>
      </c>
      <c r="F222">
        <f t="shared" si="12"/>
        <v>8.6713592589235458E-3</v>
      </c>
      <c r="H222" s="104"/>
      <c r="I222" s="24"/>
      <c r="J222" s="105"/>
    </row>
    <row r="223" spans="1:10" x14ac:dyDescent="0.15">
      <c r="A223" s="104">
        <v>39416</v>
      </c>
      <c r="B223" s="24">
        <v>1481.1432</v>
      </c>
      <c r="C223" s="105">
        <f t="shared" si="13"/>
        <v>-8.6338714582087743E-3</v>
      </c>
      <c r="F223">
        <f t="shared" si="12"/>
        <v>4.5038886239700114E-2</v>
      </c>
      <c r="H223" s="104"/>
      <c r="I223" s="24"/>
      <c r="J223" s="105"/>
    </row>
    <row r="224" spans="1:10" x14ac:dyDescent="0.15">
      <c r="A224" s="103">
        <v>39386</v>
      </c>
      <c r="B224" s="22">
        <v>1549.3773000000001</v>
      </c>
      <c r="C224" s="105">
        <f t="shared" si="13"/>
        <v>-4.4039692591339837E-2</v>
      </c>
      <c r="F224">
        <f t="shared" si="12"/>
        <v>-1.4713976611058312E-2</v>
      </c>
      <c r="H224" s="104"/>
      <c r="I224" s="24"/>
      <c r="J224" s="105"/>
    </row>
    <row r="225" spans="1:10" x14ac:dyDescent="0.15">
      <c r="A225" s="104">
        <v>39353</v>
      </c>
      <c r="B225" s="24">
        <v>1526.7466999999999</v>
      </c>
      <c r="C225" s="105">
        <f t="shared" si="13"/>
        <v>1.4822760055744798E-2</v>
      </c>
      <c r="F225">
        <f t="shared" si="12"/>
        <v>-3.5167546886474561E-2</v>
      </c>
      <c r="H225" s="104"/>
      <c r="I225" s="24"/>
      <c r="J225" s="105"/>
    </row>
    <row r="226" spans="1:10" x14ac:dyDescent="0.15">
      <c r="A226" s="103">
        <v>39325</v>
      </c>
      <c r="B226" s="22">
        <v>1473.9879000000001</v>
      </c>
      <c r="C226" s="105">
        <f t="shared" si="13"/>
        <v>3.5793238194153316E-2</v>
      </c>
      <c r="F226">
        <f t="shared" si="12"/>
        <v>-1.2776836008323937E-2</v>
      </c>
      <c r="H226" s="104"/>
      <c r="I226" s="24"/>
      <c r="J226" s="105"/>
    </row>
    <row r="227" spans="1:10" x14ac:dyDescent="0.15">
      <c r="A227" s="104">
        <v>39294</v>
      </c>
      <c r="B227" s="24">
        <v>1455.2747999999999</v>
      </c>
      <c r="C227" s="105">
        <f t="shared" si="13"/>
        <v>1.2858808521937003E-2</v>
      </c>
      <c r="F227">
        <f t="shared" si="12"/>
        <v>3.2500271235653126E-2</v>
      </c>
      <c r="H227" s="104"/>
      <c r="I227" s="24"/>
      <c r="J227" s="105"/>
    </row>
    <row r="228" spans="1:10" x14ac:dyDescent="0.15">
      <c r="A228" s="103">
        <v>39262</v>
      </c>
      <c r="B228" s="22">
        <v>1503.3486</v>
      </c>
      <c r="C228" s="105">
        <f t="shared" si="13"/>
        <v>-3.1977812730859707E-2</v>
      </c>
      <c r="F228">
        <f t="shared" si="12"/>
        <v>1.7978646069678993E-2</v>
      </c>
      <c r="H228" s="104"/>
      <c r="I228" s="24"/>
      <c r="J228" s="105"/>
    </row>
    <row r="229" spans="1:10" x14ac:dyDescent="0.15">
      <c r="A229" s="104">
        <v>39233</v>
      </c>
      <c r="B229" s="24">
        <v>1530.6212</v>
      </c>
      <c r="C229" s="105">
        <f t="shared" si="13"/>
        <v>-1.7817994419520658E-2</v>
      </c>
      <c r="F229">
        <f t="shared" si="12"/>
        <v>-3.2033329153051342E-2</v>
      </c>
      <c r="H229" s="104"/>
      <c r="I229" s="24"/>
      <c r="J229" s="105"/>
    </row>
    <row r="230" spans="1:10" x14ac:dyDescent="0.15">
      <c r="A230" s="103">
        <v>39202</v>
      </c>
      <c r="B230" s="22">
        <v>1482.3672999999999</v>
      </c>
      <c r="C230" s="105">
        <f t="shared" si="13"/>
        <v>3.2551918812564307E-2</v>
      </c>
      <c r="F230">
        <f t="shared" si="12"/>
        <v>-4.237534039530317E-2</v>
      </c>
      <c r="H230" s="104"/>
      <c r="I230" s="24"/>
      <c r="J230" s="105"/>
    </row>
    <row r="231" spans="1:10" x14ac:dyDescent="0.15">
      <c r="A231" s="104">
        <v>39171</v>
      </c>
      <c r="B231" s="24">
        <v>1420.8638000000001</v>
      </c>
      <c r="C231" s="105">
        <f t="shared" si="13"/>
        <v>4.3285992647571006E-2</v>
      </c>
      <c r="F231">
        <f t="shared" si="12"/>
        <v>-9.9338691715621513E-3</v>
      </c>
      <c r="H231" s="104"/>
      <c r="I231" s="24"/>
      <c r="J231" s="105"/>
    </row>
    <row r="232" spans="1:10" x14ac:dyDescent="0.15">
      <c r="A232" s="103">
        <v>39141</v>
      </c>
      <c r="B232" s="22">
        <v>1406.819</v>
      </c>
      <c r="C232" s="105">
        <f t="shared" si="13"/>
        <v>9.9833738384256417E-3</v>
      </c>
      <c r="F232">
        <f t="shared" si="12"/>
        <v>2.2091032838921238E-2</v>
      </c>
      <c r="H232" s="104"/>
      <c r="I232" s="24"/>
      <c r="J232" s="105"/>
    </row>
    <row r="233" spans="1:10" x14ac:dyDescent="0.15">
      <c r="A233" s="104">
        <v>39113</v>
      </c>
      <c r="B233" s="24">
        <v>1438.2429</v>
      </c>
      <c r="C233" s="105">
        <f t="shared" si="13"/>
        <v>-2.1848812881329019E-2</v>
      </c>
      <c r="F233">
        <f t="shared" si="12"/>
        <v>-1.3962836341152531E-2</v>
      </c>
      <c r="H233" s="104"/>
      <c r="I233" s="24"/>
      <c r="J233" s="105"/>
    </row>
    <row r="234" spans="1:10" x14ac:dyDescent="0.15">
      <c r="A234" s="103">
        <v>39080</v>
      </c>
      <c r="B234" s="22">
        <v>1418.3005000000001</v>
      </c>
      <c r="C234" s="105">
        <f t="shared" si="13"/>
        <v>1.4060772029622711E-2</v>
      </c>
      <c r="F234">
        <f t="shared" si="12"/>
        <v>-1.253404701295076E-2</v>
      </c>
      <c r="H234" s="104"/>
      <c r="I234" s="24"/>
      <c r="J234" s="105"/>
    </row>
    <row r="235" spans="1:10" x14ac:dyDescent="0.15">
      <c r="A235" s="104">
        <v>39051</v>
      </c>
      <c r="B235" s="24">
        <v>1400.6343999999999</v>
      </c>
      <c r="C235" s="105">
        <f t="shared" si="13"/>
        <v>1.2612927399184357E-2</v>
      </c>
      <c r="F235">
        <f t="shared" si="12"/>
        <v>-1.6333759688088666E-2</v>
      </c>
      <c r="H235" s="104"/>
      <c r="I235" s="24"/>
      <c r="J235" s="105"/>
    </row>
    <row r="236" spans="1:10" x14ac:dyDescent="0.15">
      <c r="A236" s="103">
        <v>39021</v>
      </c>
      <c r="B236" s="22">
        <v>1377.9426000000001</v>
      </c>
      <c r="C236" s="105">
        <f t="shared" si="13"/>
        <v>1.6467884801587403E-2</v>
      </c>
      <c r="F236">
        <f t="shared" si="12"/>
        <v>-3.1025969553703361E-2</v>
      </c>
      <c r="H236" s="104"/>
      <c r="I236" s="24"/>
      <c r="J236" s="105"/>
    </row>
    <row r="237" spans="1:10" x14ac:dyDescent="0.15">
      <c r="A237" s="104">
        <v>38989</v>
      </c>
      <c r="B237" s="24">
        <v>1335.847</v>
      </c>
      <c r="C237" s="105">
        <f t="shared" si="13"/>
        <v>3.1512291452539178E-2</v>
      </c>
      <c r="F237">
        <f t="shared" si="12"/>
        <v>-2.42682808978733E-2</v>
      </c>
      <c r="H237" s="104"/>
      <c r="I237" s="24"/>
      <c r="J237" s="105"/>
    </row>
    <row r="238" spans="1:10" x14ac:dyDescent="0.15">
      <c r="A238" s="103">
        <v>38960</v>
      </c>
      <c r="B238" s="22">
        <v>1303.8185000000001</v>
      </c>
      <c r="C238" s="105">
        <f t="shared" si="13"/>
        <v>2.4565152281548309E-2</v>
      </c>
      <c r="F238">
        <f t="shared" si="12"/>
        <v>-2.1049660804261631E-2</v>
      </c>
      <c r="H238" s="104"/>
      <c r="I238" s="24"/>
      <c r="J238" s="105"/>
    </row>
    <row r="239" spans="1:10" x14ac:dyDescent="0.15">
      <c r="A239" s="104">
        <v>38929</v>
      </c>
      <c r="B239" s="24">
        <v>1276.6604</v>
      </c>
      <c r="C239" s="105">
        <f t="shared" si="13"/>
        <v>2.1272767605230104E-2</v>
      </c>
      <c r="F239">
        <f t="shared" si="12"/>
        <v>-5.0698522215477226E-3</v>
      </c>
      <c r="H239" s="104"/>
      <c r="I239" s="24"/>
      <c r="J239" s="105"/>
    </row>
    <row r="240" spans="1:10" x14ac:dyDescent="0.15">
      <c r="A240" s="103">
        <v>38898</v>
      </c>
      <c r="B240" s="22">
        <v>1270.2043000000001</v>
      </c>
      <c r="C240" s="105">
        <f t="shared" si="13"/>
        <v>5.0827256686187235E-3</v>
      </c>
      <c r="F240">
        <f t="shared" si="12"/>
        <v>-9.0147042484258695E-5</v>
      </c>
      <c r="H240" s="104"/>
      <c r="I240" s="24"/>
      <c r="J240" s="105"/>
    </row>
    <row r="241" spans="1:10" x14ac:dyDescent="0.15">
      <c r="A241" s="104">
        <v>38868</v>
      </c>
      <c r="B241" s="24">
        <v>1270.0898</v>
      </c>
      <c r="C241" s="105">
        <f t="shared" si="13"/>
        <v>9.0151105851046608E-5</v>
      </c>
      <c r="F241">
        <f t="shared" si="12"/>
        <v>3.1406520760634424E-2</v>
      </c>
      <c r="H241" s="104"/>
      <c r="I241" s="24"/>
      <c r="J241" s="105"/>
    </row>
    <row r="242" spans="1:10" x14ac:dyDescent="0.15">
      <c r="A242" s="103">
        <v>38835</v>
      </c>
      <c r="B242" s="22">
        <v>1310.6119000000001</v>
      </c>
      <c r="C242" s="105">
        <f t="shared" si="13"/>
        <v>-3.0918458774867017E-2</v>
      </c>
      <c r="F242" t="e">
        <f t="shared" si="12"/>
        <v>#NUM!</v>
      </c>
      <c r="H242" s="104"/>
      <c r="I242" s="24"/>
      <c r="J242" s="105"/>
    </row>
    <row r="243" spans="1:10" x14ac:dyDescent="0.15">
      <c r="H243" s="104"/>
      <c r="I243" s="24"/>
      <c r="J243" s="105"/>
    </row>
    <row r="244" spans="1:10" x14ac:dyDescent="0.15">
      <c r="H244" s="104"/>
      <c r="I244" s="24"/>
      <c r="J244" s="105"/>
    </row>
    <row r="245" spans="1:10" x14ac:dyDescent="0.15">
      <c r="H245" s="104"/>
      <c r="I245" s="24"/>
      <c r="J245" s="105"/>
    </row>
    <row r="246" spans="1:10" x14ac:dyDescent="0.15">
      <c r="H246" s="104"/>
      <c r="I246" s="24"/>
      <c r="J246" s="105"/>
    </row>
    <row r="247" spans="1:10" x14ac:dyDescent="0.15">
      <c r="H247" s="104"/>
      <c r="I247" s="24"/>
      <c r="J247" s="105"/>
    </row>
    <row r="248" spans="1:10" x14ac:dyDescent="0.15">
      <c r="H248" s="104"/>
      <c r="I248" s="24"/>
      <c r="J248" s="105"/>
    </row>
    <row r="249" spans="1:10" x14ac:dyDescent="0.15">
      <c r="H249" s="104"/>
      <c r="I249" s="24"/>
      <c r="J249" s="105"/>
    </row>
    <row r="250" spans="1:10" x14ac:dyDescent="0.15">
      <c r="H250" s="104"/>
      <c r="I250" s="24"/>
      <c r="J250" s="105"/>
    </row>
    <row r="251" spans="1:10" x14ac:dyDescent="0.15">
      <c r="H251" s="104"/>
      <c r="I251" s="24"/>
      <c r="J251" s="105"/>
    </row>
    <row r="252" spans="1:10" x14ac:dyDescent="0.15">
      <c r="H252" s="104"/>
      <c r="I252" s="24"/>
      <c r="J252" s="105"/>
    </row>
    <row r="253" spans="1:10" x14ac:dyDescent="0.15">
      <c r="H253" s="104"/>
      <c r="I253" s="24"/>
      <c r="J253" s="105"/>
    </row>
    <row r="254" spans="1:10" x14ac:dyDescent="0.15">
      <c r="H254" s="104"/>
      <c r="I254" s="24"/>
      <c r="J254" s="105"/>
    </row>
    <row r="255" spans="1:10" x14ac:dyDescent="0.15">
      <c r="H255" s="104"/>
      <c r="I255" s="24"/>
      <c r="J255" s="105"/>
    </row>
    <row r="256" spans="1:10" x14ac:dyDescent="0.15">
      <c r="H256" s="104"/>
      <c r="I256" s="24"/>
      <c r="J256" s="105"/>
    </row>
    <row r="257" spans="8:10" x14ac:dyDescent="0.15">
      <c r="H257" s="104"/>
      <c r="I257" s="24"/>
      <c r="J257" s="105"/>
    </row>
    <row r="258" spans="8:10" x14ac:dyDescent="0.15">
      <c r="H258" s="104"/>
      <c r="I258" s="24"/>
      <c r="J258" s="105"/>
    </row>
    <row r="259" spans="8:10" x14ac:dyDescent="0.15">
      <c r="H259" s="104"/>
      <c r="I259" s="24"/>
      <c r="J259" s="105"/>
    </row>
    <row r="260" spans="8:10" x14ac:dyDescent="0.15">
      <c r="H260" s="104"/>
      <c r="I260" s="24"/>
      <c r="J260" s="105"/>
    </row>
    <row r="261" spans="8:10" x14ac:dyDescent="0.15">
      <c r="H261" s="104"/>
      <c r="I261" s="24"/>
      <c r="J261" s="105"/>
    </row>
    <row r="262" spans="8:10" x14ac:dyDescent="0.15">
      <c r="H262" s="104"/>
      <c r="I262" s="24"/>
      <c r="J262" s="105"/>
    </row>
    <row r="263" spans="8:10" x14ac:dyDescent="0.15">
      <c r="H263" s="104"/>
      <c r="I263" s="24"/>
      <c r="J263" s="105"/>
    </row>
    <row r="264" spans="8:10" x14ac:dyDescent="0.15">
      <c r="H264" s="104"/>
      <c r="I264" s="24"/>
      <c r="J264" s="105"/>
    </row>
    <row r="265" spans="8:10" x14ac:dyDescent="0.15">
      <c r="H265" s="104"/>
      <c r="I265" s="24"/>
      <c r="J265" s="105"/>
    </row>
    <row r="266" spans="8:10" x14ac:dyDescent="0.15">
      <c r="H266" s="104"/>
      <c r="I266" s="24"/>
      <c r="J266" s="105"/>
    </row>
    <row r="267" spans="8:10" x14ac:dyDescent="0.15">
      <c r="H267" s="104"/>
      <c r="I267" s="24"/>
      <c r="J267" s="105"/>
    </row>
    <row r="268" spans="8:10" x14ac:dyDescent="0.15">
      <c r="H268" s="104"/>
      <c r="I268" s="24"/>
      <c r="J268" s="105"/>
    </row>
    <row r="269" spans="8:10" x14ac:dyDescent="0.15">
      <c r="H269" s="104"/>
      <c r="I269" s="24"/>
      <c r="J269" s="105"/>
    </row>
    <row r="270" spans="8:10" x14ac:dyDescent="0.15">
      <c r="H270" s="104"/>
      <c r="I270" s="24"/>
      <c r="J270" s="105"/>
    </row>
    <row r="271" spans="8:10" x14ac:dyDescent="0.15">
      <c r="H271" s="104"/>
      <c r="I271" s="24"/>
      <c r="J271" s="105"/>
    </row>
    <row r="272" spans="8:10" x14ac:dyDescent="0.15">
      <c r="H272" s="104"/>
      <c r="I272" s="24"/>
      <c r="J272" s="105"/>
    </row>
    <row r="273" spans="8:10" x14ac:dyDescent="0.15">
      <c r="H273" s="104"/>
      <c r="I273" s="24"/>
      <c r="J273" s="105"/>
    </row>
    <row r="274" spans="8:10" x14ac:dyDescent="0.15">
      <c r="H274" s="104"/>
      <c r="I274" s="24"/>
      <c r="J274" s="105"/>
    </row>
    <row r="275" spans="8:10" x14ac:dyDescent="0.15">
      <c r="H275" s="104"/>
      <c r="I275" s="24"/>
      <c r="J275" s="105"/>
    </row>
    <row r="276" spans="8:10" x14ac:dyDescent="0.15">
      <c r="H276" s="104"/>
      <c r="I276" s="24"/>
      <c r="J276" s="105"/>
    </row>
    <row r="277" spans="8:10" x14ac:dyDescent="0.15">
      <c r="H277" s="104"/>
      <c r="I277" s="24"/>
      <c r="J277" s="105"/>
    </row>
    <row r="278" spans="8:10" x14ac:dyDescent="0.15">
      <c r="H278" s="104"/>
      <c r="I278" s="24"/>
      <c r="J278" s="105"/>
    </row>
    <row r="279" spans="8:10" x14ac:dyDescent="0.15">
      <c r="H279" s="104"/>
      <c r="I279" s="24"/>
      <c r="J279" s="105"/>
    </row>
    <row r="280" spans="8:10" x14ac:dyDescent="0.15">
      <c r="H280" s="104"/>
      <c r="I280" s="24"/>
      <c r="J280" s="105"/>
    </row>
    <row r="281" spans="8:10" x14ac:dyDescent="0.15">
      <c r="H281" s="104"/>
      <c r="I281" s="24"/>
      <c r="J281" s="105"/>
    </row>
    <row r="282" spans="8:10" x14ac:dyDescent="0.15">
      <c r="H282" s="104"/>
      <c r="I282" s="24"/>
      <c r="J282" s="105"/>
    </row>
    <row r="283" spans="8:10" x14ac:dyDescent="0.15">
      <c r="H283" s="104"/>
      <c r="I283" s="24"/>
      <c r="J283" s="105"/>
    </row>
    <row r="284" spans="8:10" x14ac:dyDescent="0.15">
      <c r="H284" s="104"/>
      <c r="I284" s="24"/>
      <c r="J284" s="105"/>
    </row>
    <row r="285" spans="8:10" x14ac:dyDescent="0.15">
      <c r="H285" s="104"/>
      <c r="I285" s="24"/>
      <c r="J285" s="105"/>
    </row>
    <row r="286" spans="8:10" x14ac:dyDescent="0.15">
      <c r="H286" s="104"/>
      <c r="I286" s="24"/>
      <c r="J286" s="105"/>
    </row>
    <row r="287" spans="8:10" x14ac:dyDescent="0.15">
      <c r="H287" s="104"/>
      <c r="I287" s="24"/>
      <c r="J287" s="105"/>
    </row>
    <row r="288" spans="8:10" x14ac:dyDescent="0.15">
      <c r="H288" s="104"/>
      <c r="I288" s="24"/>
      <c r="J288" s="105"/>
    </row>
    <row r="289" spans="8:10" x14ac:dyDescent="0.15">
      <c r="H289" s="104"/>
      <c r="I289" s="24"/>
      <c r="J289" s="105"/>
    </row>
    <row r="290" spans="8:10" x14ac:dyDescent="0.15">
      <c r="H290" s="104"/>
      <c r="I290" s="24"/>
      <c r="J290" s="105"/>
    </row>
    <row r="291" spans="8:10" x14ac:dyDescent="0.15">
      <c r="H291" s="104"/>
      <c r="I291" s="24"/>
      <c r="J291" s="105"/>
    </row>
    <row r="292" spans="8:10" x14ac:dyDescent="0.15">
      <c r="H292" s="104"/>
      <c r="I292" s="24"/>
      <c r="J292" s="105"/>
    </row>
    <row r="293" spans="8:10" x14ac:dyDescent="0.15">
      <c r="H293" s="104"/>
      <c r="I293" s="24"/>
      <c r="J293" s="105"/>
    </row>
    <row r="294" spans="8:10" x14ac:dyDescent="0.15">
      <c r="H294" s="104"/>
      <c r="I294" s="24"/>
      <c r="J294" s="105"/>
    </row>
    <row r="295" spans="8:10" x14ac:dyDescent="0.15">
      <c r="H295" s="104"/>
      <c r="I295" s="24"/>
      <c r="J295" s="105"/>
    </row>
    <row r="296" spans="8:10" x14ac:dyDescent="0.15">
      <c r="H296" s="104"/>
      <c r="I296" s="24"/>
      <c r="J296" s="105"/>
    </row>
    <row r="297" spans="8:10" x14ac:dyDescent="0.15">
      <c r="H297" s="104"/>
      <c r="I297" s="24"/>
      <c r="J297" s="105"/>
    </row>
    <row r="298" spans="8:10" x14ac:dyDescent="0.15">
      <c r="H298" s="104"/>
      <c r="I298" s="24"/>
      <c r="J298" s="105"/>
    </row>
    <row r="299" spans="8:10" x14ac:dyDescent="0.15">
      <c r="H299" s="104"/>
      <c r="I299" s="24"/>
      <c r="J299" s="105"/>
    </row>
    <row r="300" spans="8:10" x14ac:dyDescent="0.15">
      <c r="H300" s="104"/>
      <c r="I300" s="24"/>
      <c r="J300" s="105"/>
    </row>
    <row r="301" spans="8:10" x14ac:dyDescent="0.15">
      <c r="H301" s="104"/>
      <c r="I301" s="24"/>
      <c r="J301" s="105"/>
    </row>
    <row r="302" spans="8:10" x14ac:dyDescent="0.15">
      <c r="H302" s="104"/>
      <c r="I302" s="24"/>
      <c r="J302" s="105"/>
    </row>
    <row r="303" spans="8:10" x14ac:dyDescent="0.15">
      <c r="H303" s="104"/>
      <c r="I303" s="24"/>
      <c r="J303" s="105"/>
    </row>
    <row r="304" spans="8:10" x14ac:dyDescent="0.15">
      <c r="H304" s="104"/>
      <c r="I304" s="24"/>
      <c r="J304" s="105"/>
    </row>
    <row r="305" spans="8:10" x14ac:dyDescent="0.15">
      <c r="H305" s="104"/>
      <c r="I305" s="24"/>
      <c r="J305" s="105"/>
    </row>
    <row r="306" spans="8:10" x14ac:dyDescent="0.15">
      <c r="H306" s="104"/>
      <c r="I306" s="24"/>
      <c r="J306" s="105"/>
    </row>
    <row r="307" spans="8:10" x14ac:dyDescent="0.15">
      <c r="H307" s="104"/>
      <c r="I307" s="24"/>
      <c r="J307" s="105"/>
    </row>
    <row r="308" spans="8:10" x14ac:dyDescent="0.15">
      <c r="H308" s="104"/>
      <c r="I308" s="24"/>
      <c r="J308" s="105"/>
    </row>
    <row r="309" spans="8:10" x14ac:dyDescent="0.15">
      <c r="H309" s="104"/>
      <c r="I309" s="24"/>
      <c r="J309" s="105"/>
    </row>
    <row r="310" spans="8:10" x14ac:dyDescent="0.15">
      <c r="H310" s="104"/>
      <c r="I310" s="24"/>
      <c r="J310" s="105"/>
    </row>
    <row r="311" spans="8:10" x14ac:dyDescent="0.15">
      <c r="H311" s="104"/>
      <c r="I311" s="24"/>
      <c r="J311" s="105"/>
    </row>
    <row r="312" spans="8:10" x14ac:dyDescent="0.15">
      <c r="H312" s="104"/>
      <c r="I312" s="24"/>
      <c r="J312" s="105"/>
    </row>
    <row r="313" spans="8:10" x14ac:dyDescent="0.15">
      <c r="H313" s="104"/>
      <c r="I313" s="24"/>
      <c r="J313" s="105"/>
    </row>
    <row r="314" spans="8:10" x14ac:dyDescent="0.15">
      <c r="H314" s="104"/>
      <c r="I314" s="24"/>
      <c r="J314" s="105"/>
    </row>
    <row r="315" spans="8:10" x14ac:dyDescent="0.15">
      <c r="H315" s="104"/>
      <c r="I315" s="24"/>
      <c r="J315" s="105"/>
    </row>
    <row r="316" spans="8:10" x14ac:dyDescent="0.15">
      <c r="H316" s="104"/>
      <c r="I316" s="24"/>
      <c r="J316" s="105"/>
    </row>
    <row r="317" spans="8:10" x14ac:dyDescent="0.15">
      <c r="H317" s="104"/>
      <c r="I317" s="24"/>
      <c r="J317" s="105"/>
    </row>
    <row r="318" spans="8:10" x14ac:dyDescent="0.15">
      <c r="H318" s="104"/>
      <c r="I318" s="24"/>
      <c r="J318" s="105"/>
    </row>
    <row r="319" spans="8:10" x14ac:dyDescent="0.15">
      <c r="H319" s="104"/>
      <c r="I319" s="24"/>
      <c r="J319" s="105"/>
    </row>
    <row r="320" spans="8:10" x14ac:dyDescent="0.15">
      <c r="H320" s="104"/>
      <c r="I320" s="24"/>
      <c r="J320" s="105"/>
    </row>
    <row r="321" spans="8:10" x14ac:dyDescent="0.15">
      <c r="H321" s="104"/>
      <c r="I321" s="24"/>
      <c r="J321" s="105"/>
    </row>
    <row r="322" spans="8:10" x14ac:dyDescent="0.15">
      <c r="H322" s="104"/>
      <c r="I322" s="24"/>
      <c r="J322" s="105"/>
    </row>
    <row r="323" spans="8:10" x14ac:dyDescent="0.15">
      <c r="H323" s="104"/>
      <c r="I323" s="24"/>
      <c r="J323" s="105"/>
    </row>
    <row r="324" spans="8:10" x14ac:dyDescent="0.15">
      <c r="H324" s="104"/>
      <c r="I324" s="24"/>
      <c r="J324" s="105"/>
    </row>
    <row r="325" spans="8:10" x14ac:dyDescent="0.15">
      <c r="H325" s="104"/>
      <c r="I325" s="24"/>
      <c r="J325" s="105"/>
    </row>
    <row r="326" spans="8:10" x14ac:dyDescent="0.15">
      <c r="H326" s="104"/>
      <c r="I326" s="24"/>
      <c r="J326" s="105"/>
    </row>
    <row r="327" spans="8:10" x14ac:dyDescent="0.15">
      <c r="H327" s="104"/>
      <c r="I327" s="24"/>
      <c r="J327" s="105"/>
    </row>
    <row r="328" spans="8:10" x14ac:dyDescent="0.15">
      <c r="H328" s="104"/>
      <c r="I328" s="24"/>
      <c r="J328" s="105"/>
    </row>
    <row r="329" spans="8:10" x14ac:dyDescent="0.15">
      <c r="H329" s="104"/>
      <c r="I329" s="24"/>
      <c r="J329" s="105"/>
    </row>
    <row r="330" spans="8:10" x14ac:dyDescent="0.15">
      <c r="H330" s="104"/>
      <c r="I330" s="24"/>
      <c r="J330" s="105"/>
    </row>
    <row r="331" spans="8:10" x14ac:dyDescent="0.15">
      <c r="H331" s="104"/>
      <c r="I331" s="24"/>
      <c r="J331" s="105"/>
    </row>
    <row r="332" spans="8:10" x14ac:dyDescent="0.15">
      <c r="H332" s="104"/>
      <c r="I332" s="24"/>
      <c r="J332" s="105"/>
    </row>
    <row r="333" spans="8:10" x14ac:dyDescent="0.15">
      <c r="H333" s="104"/>
      <c r="I333" s="24"/>
      <c r="J333" s="105"/>
    </row>
    <row r="334" spans="8:10" x14ac:dyDescent="0.15">
      <c r="H334" s="104"/>
      <c r="I334" s="24"/>
      <c r="J334" s="105"/>
    </row>
    <row r="335" spans="8:10" x14ac:dyDescent="0.15">
      <c r="H335" s="104"/>
      <c r="I335" s="24"/>
      <c r="J335" s="105"/>
    </row>
    <row r="336" spans="8:10" x14ac:dyDescent="0.15">
      <c r="H336" s="104"/>
      <c r="I336" s="24"/>
      <c r="J336" s="105"/>
    </row>
    <row r="337" spans="8:10" x14ac:dyDescent="0.15">
      <c r="H337" s="104"/>
      <c r="I337" s="24"/>
      <c r="J337" s="105"/>
    </row>
    <row r="338" spans="8:10" x14ac:dyDescent="0.15">
      <c r="H338" s="104"/>
      <c r="I338" s="24"/>
      <c r="J338" s="105"/>
    </row>
    <row r="339" spans="8:10" x14ac:dyDescent="0.15">
      <c r="H339" s="104"/>
      <c r="I339" s="24"/>
      <c r="J339" s="105"/>
    </row>
    <row r="340" spans="8:10" x14ac:dyDescent="0.15">
      <c r="H340" s="104"/>
      <c r="I340" s="24"/>
      <c r="J340" s="105"/>
    </row>
    <row r="341" spans="8:10" x14ac:dyDescent="0.15">
      <c r="H341" s="104"/>
      <c r="I341" s="24"/>
      <c r="J341" s="105"/>
    </row>
    <row r="342" spans="8:10" x14ac:dyDescent="0.15">
      <c r="H342" s="104"/>
      <c r="I342" s="24"/>
      <c r="J342" s="105"/>
    </row>
    <row r="343" spans="8:10" x14ac:dyDescent="0.15">
      <c r="H343" s="104"/>
      <c r="I343" s="24"/>
      <c r="J343" s="105"/>
    </row>
    <row r="344" spans="8:10" x14ac:dyDescent="0.15">
      <c r="H344" s="104"/>
      <c r="I344" s="24"/>
      <c r="J344" s="105"/>
    </row>
    <row r="345" spans="8:10" x14ac:dyDescent="0.15">
      <c r="H345" s="104"/>
      <c r="I345" s="24"/>
      <c r="J345" s="105"/>
    </row>
    <row r="346" spans="8:10" x14ac:dyDescent="0.15">
      <c r="H346" s="104"/>
      <c r="I346" s="24"/>
      <c r="J346" s="105"/>
    </row>
    <row r="347" spans="8:10" x14ac:dyDescent="0.15">
      <c r="H347" s="104"/>
      <c r="I347" s="24"/>
      <c r="J347" s="105"/>
    </row>
    <row r="348" spans="8:10" x14ac:dyDescent="0.15">
      <c r="H348" s="104"/>
      <c r="I348" s="24"/>
      <c r="J348" s="105"/>
    </row>
    <row r="349" spans="8:10" x14ac:dyDescent="0.15">
      <c r="H349" s="104"/>
      <c r="I349" s="24"/>
      <c r="J349" s="105"/>
    </row>
    <row r="350" spans="8:10" x14ac:dyDescent="0.15">
      <c r="H350" s="104"/>
      <c r="I350" s="24"/>
      <c r="J350" s="105"/>
    </row>
    <row r="351" spans="8:10" x14ac:dyDescent="0.15">
      <c r="H351" s="104"/>
      <c r="I351" s="24"/>
      <c r="J351" s="105"/>
    </row>
    <row r="352" spans="8:10" x14ac:dyDescent="0.15">
      <c r="H352" s="104"/>
      <c r="I352" s="24"/>
      <c r="J352" s="105"/>
    </row>
    <row r="353" spans="8:10" x14ac:dyDescent="0.15">
      <c r="H353" s="104"/>
      <c r="I353" s="24"/>
      <c r="J353" s="105"/>
    </row>
    <row r="354" spans="8:10" x14ac:dyDescent="0.15">
      <c r="H354" s="104"/>
      <c r="I354" s="24"/>
      <c r="J354" s="105"/>
    </row>
    <row r="355" spans="8:10" x14ac:dyDescent="0.15">
      <c r="H355" s="104"/>
      <c r="I355" s="24"/>
      <c r="J355" s="105"/>
    </row>
    <row r="356" spans="8:10" x14ac:dyDescent="0.15">
      <c r="H356" s="104"/>
      <c r="I356" s="24"/>
      <c r="J356" s="105"/>
    </row>
    <row r="357" spans="8:10" x14ac:dyDescent="0.15">
      <c r="H357" s="104"/>
      <c r="I357" s="24"/>
      <c r="J357" s="105"/>
    </row>
    <row r="358" spans="8:10" x14ac:dyDescent="0.15">
      <c r="H358" s="104"/>
      <c r="I358" s="24"/>
      <c r="J358" s="105"/>
    </row>
    <row r="359" spans="8:10" x14ac:dyDescent="0.15">
      <c r="H359" s="104"/>
      <c r="I359" s="24"/>
      <c r="J359" s="105"/>
    </row>
    <row r="360" spans="8:10" x14ac:dyDescent="0.15">
      <c r="H360" s="104"/>
      <c r="I360" s="24"/>
      <c r="J360" s="105"/>
    </row>
    <row r="361" spans="8:10" x14ac:dyDescent="0.15">
      <c r="H361" s="104"/>
      <c r="I361" s="24"/>
      <c r="J361" s="105"/>
    </row>
    <row r="362" spans="8:10" x14ac:dyDescent="0.15">
      <c r="H362" s="104"/>
      <c r="I362" s="24"/>
      <c r="J362" s="105"/>
    </row>
    <row r="363" spans="8:10" x14ac:dyDescent="0.15">
      <c r="H363" s="104"/>
      <c r="I363" s="24"/>
      <c r="J363" s="105"/>
    </row>
    <row r="364" spans="8:10" x14ac:dyDescent="0.15">
      <c r="H364" s="104"/>
      <c r="I364" s="24"/>
      <c r="J364" s="105"/>
    </row>
    <row r="365" spans="8:10" x14ac:dyDescent="0.15">
      <c r="H365" s="104"/>
      <c r="I365" s="24"/>
      <c r="J365" s="105"/>
    </row>
    <row r="366" spans="8:10" x14ac:dyDescent="0.15">
      <c r="H366" s="104"/>
      <c r="I366" s="24"/>
      <c r="J366" s="105"/>
    </row>
    <row r="367" spans="8:10" x14ac:dyDescent="0.15">
      <c r="H367" s="104"/>
      <c r="I367" s="24"/>
      <c r="J367" s="105"/>
    </row>
    <row r="368" spans="8:10" x14ac:dyDescent="0.15">
      <c r="H368" s="104"/>
      <c r="I368" s="24"/>
      <c r="J368" s="105"/>
    </row>
    <row r="369" spans="8:10" x14ac:dyDescent="0.15">
      <c r="H369" s="104"/>
      <c r="I369" s="24"/>
      <c r="J369" s="105"/>
    </row>
    <row r="370" spans="8:10" x14ac:dyDescent="0.15">
      <c r="H370" s="104"/>
      <c r="I370" s="24"/>
      <c r="J370" s="105"/>
    </row>
    <row r="371" spans="8:10" x14ac:dyDescent="0.15">
      <c r="H371" s="104"/>
      <c r="I371" s="24"/>
      <c r="J371" s="105"/>
    </row>
    <row r="372" spans="8:10" x14ac:dyDescent="0.15">
      <c r="H372" s="104"/>
      <c r="I372" s="24"/>
      <c r="J372" s="105"/>
    </row>
    <row r="373" spans="8:10" x14ac:dyDescent="0.15">
      <c r="H373" s="104"/>
      <c r="I373" s="24"/>
      <c r="J373" s="105"/>
    </row>
    <row r="374" spans="8:10" x14ac:dyDescent="0.15">
      <c r="H374" s="104"/>
      <c r="I374" s="24"/>
      <c r="J374" s="105"/>
    </row>
    <row r="375" spans="8:10" x14ac:dyDescent="0.15">
      <c r="H375" s="104"/>
      <c r="I375" s="24"/>
      <c r="J375" s="105"/>
    </row>
    <row r="376" spans="8:10" x14ac:dyDescent="0.15">
      <c r="H376" s="104"/>
      <c r="I376" s="24"/>
      <c r="J376" s="105"/>
    </row>
    <row r="377" spans="8:10" x14ac:dyDescent="0.15">
      <c r="H377" s="104"/>
      <c r="I377" s="24"/>
      <c r="J377" s="105"/>
    </row>
    <row r="378" spans="8:10" x14ac:dyDescent="0.15">
      <c r="H378" s="104"/>
      <c r="I378" s="24"/>
      <c r="J378" s="105"/>
    </row>
    <row r="379" spans="8:10" x14ac:dyDescent="0.15">
      <c r="H379" s="104"/>
      <c r="I379" s="24"/>
      <c r="J379" s="105"/>
    </row>
    <row r="380" spans="8:10" x14ac:dyDescent="0.15">
      <c r="H380" s="104"/>
      <c r="I380" s="24"/>
      <c r="J380" s="105"/>
    </row>
    <row r="381" spans="8:10" x14ac:dyDescent="0.15">
      <c r="H381" s="104"/>
      <c r="I381" s="24"/>
      <c r="J381" s="105"/>
    </row>
    <row r="382" spans="8:10" x14ac:dyDescent="0.15">
      <c r="H382" s="104"/>
      <c r="I382" s="24"/>
      <c r="J382" s="105"/>
    </row>
    <row r="383" spans="8:10" x14ac:dyDescent="0.15">
      <c r="H383" s="104"/>
      <c r="I383" s="24"/>
      <c r="J383" s="105"/>
    </row>
    <row r="384" spans="8:10" x14ac:dyDescent="0.15">
      <c r="H384" s="104"/>
      <c r="I384" s="24"/>
      <c r="J384" s="105"/>
    </row>
    <row r="385" spans="8:10" x14ac:dyDescent="0.15">
      <c r="H385" s="104"/>
      <c r="I385" s="24"/>
      <c r="J385" s="105"/>
    </row>
    <row r="386" spans="8:10" x14ac:dyDescent="0.15">
      <c r="H386" s="104"/>
      <c r="I386" s="24"/>
      <c r="J386" s="105"/>
    </row>
    <row r="387" spans="8:10" x14ac:dyDescent="0.15">
      <c r="H387" s="104"/>
      <c r="I387" s="24"/>
      <c r="J387" s="105"/>
    </row>
    <row r="388" spans="8:10" x14ac:dyDescent="0.15">
      <c r="H388" s="104"/>
      <c r="I388" s="24"/>
      <c r="J388" s="105"/>
    </row>
    <row r="389" spans="8:10" x14ac:dyDescent="0.15">
      <c r="H389" s="104"/>
      <c r="I389" s="24"/>
      <c r="J389" s="105"/>
    </row>
    <row r="390" spans="8:10" x14ac:dyDescent="0.15">
      <c r="H390" s="104"/>
      <c r="I390" s="24"/>
      <c r="J390" s="105"/>
    </row>
    <row r="391" spans="8:10" x14ac:dyDescent="0.15">
      <c r="H391" s="104"/>
      <c r="I391" s="24"/>
      <c r="J391" s="105"/>
    </row>
    <row r="392" spans="8:10" x14ac:dyDescent="0.15">
      <c r="H392" s="104"/>
      <c r="I392" s="24"/>
      <c r="J392" s="105"/>
    </row>
    <row r="393" spans="8:10" x14ac:dyDescent="0.15">
      <c r="H393" s="104"/>
      <c r="I393" s="24"/>
      <c r="J393" s="105"/>
    </row>
    <row r="394" spans="8:10" x14ac:dyDescent="0.15">
      <c r="H394" s="104"/>
      <c r="I394" s="24"/>
      <c r="J394" s="105"/>
    </row>
    <row r="395" spans="8:10" x14ac:dyDescent="0.15">
      <c r="H395" s="104"/>
      <c r="I395" s="24"/>
      <c r="J395" s="105"/>
    </row>
    <row r="396" spans="8:10" x14ac:dyDescent="0.15">
      <c r="H396" s="104"/>
      <c r="I396" s="24"/>
      <c r="J396" s="105"/>
    </row>
    <row r="397" spans="8:10" x14ac:dyDescent="0.15">
      <c r="H397" s="104"/>
      <c r="I397" s="24"/>
      <c r="J397" s="105"/>
    </row>
    <row r="398" spans="8:10" x14ac:dyDescent="0.15">
      <c r="H398" s="104"/>
      <c r="I398" s="24"/>
      <c r="J398" s="105"/>
    </row>
    <row r="399" spans="8:10" x14ac:dyDescent="0.15">
      <c r="H399" s="104"/>
      <c r="I399" s="24"/>
      <c r="J399" s="105"/>
    </row>
    <row r="400" spans="8:10" x14ac:dyDescent="0.15">
      <c r="H400" s="104"/>
      <c r="I400" s="24"/>
      <c r="J400" s="105"/>
    </row>
    <row r="401" spans="8:10" x14ac:dyDescent="0.15">
      <c r="H401" s="104"/>
      <c r="I401" s="24"/>
      <c r="J401" s="105"/>
    </row>
    <row r="402" spans="8:10" x14ac:dyDescent="0.15">
      <c r="H402" s="104"/>
      <c r="I402" s="24"/>
      <c r="J402" s="105"/>
    </row>
    <row r="403" spans="8:10" x14ac:dyDescent="0.15">
      <c r="H403" s="104"/>
      <c r="I403" s="24"/>
      <c r="J403" s="105"/>
    </row>
    <row r="404" spans="8:10" x14ac:dyDescent="0.15">
      <c r="H404" s="104"/>
      <c r="I404" s="24"/>
      <c r="J404" s="105"/>
    </row>
    <row r="405" spans="8:10" x14ac:dyDescent="0.15">
      <c r="H405" s="104"/>
      <c r="I405" s="24"/>
      <c r="J405" s="105"/>
    </row>
    <row r="406" spans="8:10" x14ac:dyDescent="0.15">
      <c r="H406" s="104"/>
      <c r="I406" s="24"/>
      <c r="J406" s="105"/>
    </row>
    <row r="407" spans="8:10" x14ac:dyDescent="0.15">
      <c r="H407" s="104"/>
      <c r="I407" s="24"/>
      <c r="J407" s="105"/>
    </row>
    <row r="408" spans="8:10" x14ac:dyDescent="0.15">
      <c r="H408" s="104"/>
      <c r="I408" s="24"/>
      <c r="J408" s="105"/>
    </row>
    <row r="409" spans="8:10" x14ac:dyDescent="0.15">
      <c r="H409" s="104"/>
      <c r="I409" s="24"/>
      <c r="J409" s="105"/>
    </row>
    <row r="410" spans="8:10" x14ac:dyDescent="0.15">
      <c r="H410" s="104"/>
      <c r="I410" s="24"/>
      <c r="J410" s="105"/>
    </row>
    <row r="411" spans="8:10" x14ac:dyDescent="0.15">
      <c r="H411" s="104"/>
      <c r="I411" s="24"/>
      <c r="J411" s="105"/>
    </row>
    <row r="412" spans="8:10" x14ac:dyDescent="0.15">
      <c r="H412" s="104"/>
      <c r="I412" s="24"/>
      <c r="J412" s="105"/>
    </row>
    <row r="413" spans="8:10" x14ac:dyDescent="0.15">
      <c r="H413" s="104"/>
      <c r="I413" s="24"/>
      <c r="J413" s="105"/>
    </row>
    <row r="414" spans="8:10" x14ac:dyDescent="0.15">
      <c r="H414" s="104"/>
      <c r="I414" s="24"/>
      <c r="J414" s="105"/>
    </row>
    <row r="415" spans="8:10" x14ac:dyDescent="0.15">
      <c r="H415" s="104"/>
      <c r="I415" s="24"/>
      <c r="J415" s="105"/>
    </row>
    <row r="416" spans="8:10" x14ac:dyDescent="0.15">
      <c r="H416" s="104"/>
      <c r="I416" s="24"/>
      <c r="J416" s="105"/>
    </row>
    <row r="417" spans="8:10" x14ac:dyDescent="0.15">
      <c r="H417" s="104"/>
      <c r="I417" s="24"/>
      <c r="J417" s="105"/>
    </row>
    <row r="418" spans="8:10" x14ac:dyDescent="0.15">
      <c r="H418" s="104"/>
      <c r="I418" s="24"/>
      <c r="J418" s="105"/>
    </row>
    <row r="419" spans="8:10" x14ac:dyDescent="0.15">
      <c r="H419" s="104"/>
      <c r="I419" s="24"/>
      <c r="J419" s="105"/>
    </row>
    <row r="420" spans="8:10" x14ac:dyDescent="0.15">
      <c r="H420" s="104"/>
      <c r="I420" s="24"/>
      <c r="J420" s="105"/>
    </row>
    <row r="421" spans="8:10" x14ac:dyDescent="0.15">
      <c r="H421" s="104"/>
      <c r="I421" s="24"/>
      <c r="J421" s="105"/>
    </row>
    <row r="422" spans="8:10" x14ac:dyDescent="0.15">
      <c r="H422" s="104"/>
      <c r="I422" s="24"/>
      <c r="J422" s="105"/>
    </row>
    <row r="423" spans="8:10" x14ac:dyDescent="0.15">
      <c r="H423" s="104"/>
      <c r="I423" s="24"/>
      <c r="J423" s="105"/>
    </row>
    <row r="424" spans="8:10" x14ac:dyDescent="0.15">
      <c r="H424" s="104"/>
      <c r="I424" s="24"/>
      <c r="J424" s="105"/>
    </row>
    <row r="425" spans="8:10" x14ac:dyDescent="0.15">
      <c r="H425" s="104"/>
      <c r="I425" s="24"/>
      <c r="J425" s="105"/>
    </row>
    <row r="426" spans="8:10" x14ac:dyDescent="0.15">
      <c r="H426" s="104"/>
      <c r="I426" s="24"/>
      <c r="J426" s="105"/>
    </row>
    <row r="427" spans="8:10" x14ac:dyDescent="0.15">
      <c r="H427" s="104"/>
      <c r="I427" s="24"/>
      <c r="J427" s="105"/>
    </row>
    <row r="428" spans="8:10" x14ac:dyDescent="0.15">
      <c r="H428" s="104"/>
      <c r="I428" s="24"/>
      <c r="J428" s="105"/>
    </row>
    <row r="429" spans="8:10" x14ac:dyDescent="0.15">
      <c r="H429" s="104"/>
      <c r="I429" s="24"/>
      <c r="J429" s="105"/>
    </row>
    <row r="430" spans="8:10" x14ac:dyDescent="0.15">
      <c r="H430" s="104"/>
      <c r="I430" s="24"/>
      <c r="J430" s="105"/>
    </row>
    <row r="431" spans="8:10" x14ac:dyDescent="0.15">
      <c r="H431" s="104"/>
      <c r="I431" s="24"/>
      <c r="J431" s="105"/>
    </row>
    <row r="432" spans="8:10" x14ac:dyDescent="0.15">
      <c r="H432" s="104"/>
      <c r="I432" s="24"/>
      <c r="J432" s="105"/>
    </row>
    <row r="433" spans="8:10" x14ac:dyDescent="0.15">
      <c r="H433" s="104"/>
      <c r="I433" s="24"/>
      <c r="J433" s="105"/>
    </row>
    <row r="434" spans="8:10" x14ac:dyDescent="0.15">
      <c r="H434" s="104"/>
      <c r="I434" s="24"/>
      <c r="J434" s="105"/>
    </row>
    <row r="435" spans="8:10" x14ac:dyDescent="0.15">
      <c r="H435" s="104"/>
      <c r="I435" s="24"/>
      <c r="J435" s="105"/>
    </row>
    <row r="436" spans="8:10" x14ac:dyDescent="0.15">
      <c r="H436" s="104"/>
      <c r="I436" s="24"/>
      <c r="J436" s="105"/>
    </row>
    <row r="437" spans="8:10" x14ac:dyDescent="0.15">
      <c r="H437" s="104"/>
      <c r="I437" s="24"/>
      <c r="J437" s="105"/>
    </row>
    <row r="438" spans="8:10" x14ac:dyDescent="0.15">
      <c r="H438" s="104"/>
      <c r="I438" s="24"/>
      <c r="J438" s="105"/>
    </row>
    <row r="439" spans="8:10" x14ac:dyDescent="0.15">
      <c r="H439" s="104"/>
      <c r="I439" s="24"/>
      <c r="J439" s="105"/>
    </row>
    <row r="440" spans="8:10" x14ac:dyDescent="0.15">
      <c r="H440" s="104"/>
      <c r="I440" s="24"/>
      <c r="J440" s="105"/>
    </row>
    <row r="441" spans="8:10" x14ac:dyDescent="0.15">
      <c r="H441" s="104"/>
      <c r="I441" s="24"/>
      <c r="J441" s="105"/>
    </row>
    <row r="442" spans="8:10" x14ac:dyDescent="0.15">
      <c r="H442" s="104"/>
      <c r="I442" s="24"/>
      <c r="J442" s="105"/>
    </row>
    <row r="443" spans="8:10" x14ac:dyDescent="0.15">
      <c r="H443" s="104"/>
      <c r="I443" s="24"/>
      <c r="J443" s="105"/>
    </row>
    <row r="444" spans="8:10" x14ac:dyDescent="0.15">
      <c r="H444" s="104"/>
      <c r="I444" s="24"/>
      <c r="J444" s="105"/>
    </row>
    <row r="445" spans="8:10" x14ac:dyDescent="0.15">
      <c r="H445" s="104"/>
      <c r="I445" s="24"/>
      <c r="J445" s="105"/>
    </row>
    <row r="446" spans="8:10" x14ac:dyDescent="0.15">
      <c r="H446" s="104"/>
      <c r="I446" s="24"/>
      <c r="J446" s="105"/>
    </row>
    <row r="447" spans="8:10" x14ac:dyDescent="0.15">
      <c r="H447" s="104"/>
      <c r="I447" s="24"/>
      <c r="J447" s="105"/>
    </row>
    <row r="448" spans="8:10" x14ac:dyDescent="0.15">
      <c r="H448" s="104"/>
      <c r="I448" s="24"/>
      <c r="J448" s="105"/>
    </row>
    <row r="449" spans="8:10" x14ac:dyDescent="0.15">
      <c r="H449" s="104"/>
      <c r="I449" s="24"/>
      <c r="J449" s="105"/>
    </row>
    <row r="450" spans="8:10" x14ac:dyDescent="0.15">
      <c r="H450" s="104"/>
      <c r="I450" s="24"/>
      <c r="J450" s="105"/>
    </row>
    <row r="451" spans="8:10" x14ac:dyDescent="0.15">
      <c r="H451" s="104"/>
      <c r="I451" s="24"/>
      <c r="J451" s="105"/>
    </row>
    <row r="452" spans="8:10" x14ac:dyDescent="0.15">
      <c r="H452" s="104"/>
      <c r="I452" s="24"/>
      <c r="J452" s="105"/>
    </row>
    <row r="453" spans="8:10" x14ac:dyDescent="0.15">
      <c r="H453" s="104"/>
      <c r="I453" s="24"/>
      <c r="J453" s="105"/>
    </row>
    <row r="454" spans="8:10" x14ac:dyDescent="0.15">
      <c r="H454" s="104"/>
      <c r="I454" s="24"/>
      <c r="J454" s="105"/>
    </row>
    <row r="455" spans="8:10" x14ac:dyDescent="0.15">
      <c r="H455" s="104"/>
      <c r="I455" s="24"/>
      <c r="J455" s="105"/>
    </row>
    <row r="456" spans="8:10" x14ac:dyDescent="0.15">
      <c r="H456" s="104"/>
      <c r="I456" s="24"/>
      <c r="J456" s="105"/>
    </row>
    <row r="457" spans="8:10" x14ac:dyDescent="0.15">
      <c r="H457" s="104"/>
      <c r="I457" s="24"/>
      <c r="J457" s="105"/>
    </row>
    <row r="458" spans="8:10" x14ac:dyDescent="0.15">
      <c r="H458" s="104"/>
      <c r="I458" s="24"/>
      <c r="J458" s="105"/>
    </row>
    <row r="459" spans="8:10" x14ac:dyDescent="0.15">
      <c r="H459" s="104"/>
      <c r="I459" s="24"/>
      <c r="J459" s="105"/>
    </row>
    <row r="460" spans="8:10" x14ac:dyDescent="0.15">
      <c r="H460" s="104"/>
      <c r="I460" s="24"/>
      <c r="J460" s="105"/>
    </row>
    <row r="461" spans="8:10" x14ac:dyDescent="0.15">
      <c r="H461" s="104"/>
      <c r="I461" s="24"/>
      <c r="J461" s="105"/>
    </row>
    <row r="462" spans="8:10" x14ac:dyDescent="0.15">
      <c r="H462" s="104"/>
      <c r="I462" s="24"/>
      <c r="J462" s="10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125D-164E-C341-B00F-61F6D9433E59}">
  <dimension ref="A1:E154"/>
  <sheetViews>
    <sheetView workbookViewId="0">
      <selection activeCell="H13" sqref="H13"/>
    </sheetView>
  </sheetViews>
  <sheetFormatPr baseColWidth="10" defaultRowHeight="13" x14ac:dyDescent="0.15"/>
  <cols>
    <col min="3" max="3" width="15.5" customWidth="1"/>
    <col min="4" max="4" width="21.1640625" customWidth="1"/>
    <col min="5" max="5" width="24" customWidth="1"/>
  </cols>
  <sheetData>
    <row r="1" spans="1:5" x14ac:dyDescent="0.15">
      <c r="A1" s="1" t="s">
        <v>227</v>
      </c>
      <c r="B1" s="1" t="s">
        <v>228</v>
      </c>
      <c r="C1" s="1" t="s">
        <v>230</v>
      </c>
      <c r="D1" s="1" t="s">
        <v>233</v>
      </c>
      <c r="E1" s="107"/>
    </row>
    <row r="2" spans="1:5" x14ac:dyDescent="0.15">
      <c r="A2" s="103">
        <v>46127</v>
      </c>
      <c r="B2" s="22">
        <v>16.7</v>
      </c>
      <c r="D2" s="102">
        <f>_xlfn.COVARIANCE.S(C3:C154,'SP500 Price History'!C3:C154)/_xlfn.VAR.S('SP500 Price History'!C3:C154)</f>
        <v>1.478034938980465</v>
      </c>
      <c r="E2">
        <f>LN(B3/B2)</f>
        <v>-1.4475524173785604E-2</v>
      </c>
    </row>
    <row r="3" spans="1:5" x14ac:dyDescent="0.15">
      <c r="A3" s="104">
        <v>46112</v>
      </c>
      <c r="B3" s="24">
        <v>16.46</v>
      </c>
      <c r="C3" s="105">
        <f>(B2-B3)/B3</f>
        <v>1.458080194410683E-2</v>
      </c>
      <c r="D3" s="105">
        <f>SLOPE(C3:C154,'SP500 Price History'!C3:C154)</f>
        <v>1.478034938980465</v>
      </c>
      <c r="E3">
        <f t="shared" ref="E3:E66" si="0">LN(B4/B3)</f>
        <v>2.2823813565256913E-2</v>
      </c>
    </row>
    <row r="4" spans="1:5" x14ac:dyDescent="0.15">
      <c r="A4" s="103">
        <v>46080</v>
      </c>
      <c r="B4" s="22">
        <v>16.84</v>
      </c>
      <c r="C4" s="105">
        <f t="shared" ref="C4:C67" si="1">(B3-B4)/B4</f>
        <v>-2.2565320665083075E-2</v>
      </c>
      <c r="E4">
        <f t="shared" si="0"/>
        <v>8.8593655800759147E-2</v>
      </c>
    </row>
    <row r="5" spans="1:5" x14ac:dyDescent="0.15">
      <c r="A5" s="104">
        <v>46052</v>
      </c>
      <c r="B5" s="24">
        <v>18.399999999999999</v>
      </c>
      <c r="C5" s="105">
        <f t="shared" si="1"/>
        <v>-8.4782608695652115E-2</v>
      </c>
      <c r="E5">
        <f t="shared" si="0"/>
        <v>-7.2687576710837837E-2</v>
      </c>
    </row>
    <row r="6" spans="1:5" x14ac:dyDescent="0.15">
      <c r="A6" s="103">
        <v>46022</v>
      </c>
      <c r="B6" s="22">
        <v>17.11</v>
      </c>
      <c r="C6" s="105">
        <f t="shared" si="1"/>
        <v>7.5394506136762074E-2</v>
      </c>
      <c r="E6">
        <f t="shared" si="0"/>
        <v>-0.14571181118139365</v>
      </c>
    </row>
    <row r="7" spans="1:5" x14ac:dyDescent="0.15">
      <c r="A7" s="104">
        <v>45989</v>
      </c>
      <c r="B7" s="24">
        <v>14.79</v>
      </c>
      <c r="C7" s="105">
        <f t="shared" si="1"/>
        <v>0.15686274509803924</v>
      </c>
      <c r="E7">
        <f t="shared" si="0"/>
        <v>0.40207871814664653</v>
      </c>
    </row>
    <row r="8" spans="1:5" x14ac:dyDescent="0.15">
      <c r="A8" s="103">
        <v>45961</v>
      </c>
      <c r="B8" s="22">
        <v>22.11</v>
      </c>
      <c r="C8" s="105">
        <f t="shared" si="1"/>
        <v>-0.33107191316146545</v>
      </c>
      <c r="E8">
        <f t="shared" si="0"/>
        <v>9.4034748144726205E-2</v>
      </c>
    </row>
    <row r="9" spans="1:5" x14ac:dyDescent="0.15">
      <c r="A9" s="104">
        <v>45930</v>
      </c>
      <c r="B9" s="24">
        <v>24.29</v>
      </c>
      <c r="C9" s="105">
        <f t="shared" si="1"/>
        <v>-8.9748867846850544E-2</v>
      </c>
      <c r="E9">
        <f t="shared" si="0"/>
        <v>0.17481437597396257</v>
      </c>
    </row>
    <row r="10" spans="1:5" x14ac:dyDescent="0.15">
      <c r="A10" s="103">
        <v>45898</v>
      </c>
      <c r="B10" s="22">
        <v>28.93</v>
      </c>
      <c r="C10" s="105">
        <f t="shared" si="1"/>
        <v>-0.16038714137573457</v>
      </c>
      <c r="E10">
        <f t="shared" si="0"/>
        <v>4.8576160069613732E-2</v>
      </c>
    </row>
    <row r="11" spans="1:5" x14ac:dyDescent="0.15">
      <c r="A11" s="104">
        <v>45869</v>
      </c>
      <c r="B11" s="24">
        <v>30.37</v>
      </c>
      <c r="C11" s="105">
        <f t="shared" si="1"/>
        <v>-4.7415212380638831E-2</v>
      </c>
      <c r="E11">
        <f t="shared" si="0"/>
        <v>-0.15766910016935951</v>
      </c>
    </row>
    <row r="12" spans="1:5" x14ac:dyDescent="0.15">
      <c r="A12" s="103">
        <v>45838</v>
      </c>
      <c r="B12" s="22">
        <v>25.94</v>
      </c>
      <c r="C12" s="105">
        <f t="shared" si="1"/>
        <v>0.17077872012336159</v>
      </c>
      <c r="E12">
        <f t="shared" si="0"/>
        <v>-1.1242607271519434E-2</v>
      </c>
    </row>
    <row r="13" spans="1:5" x14ac:dyDescent="0.15">
      <c r="A13" s="104">
        <v>45807</v>
      </c>
      <c r="B13" s="24">
        <v>25.65</v>
      </c>
      <c r="C13" s="105">
        <f t="shared" si="1"/>
        <v>1.1306042884990359E-2</v>
      </c>
      <c r="E13">
        <f t="shared" si="0"/>
        <v>-0.23343019602448528</v>
      </c>
    </row>
    <row r="14" spans="1:5" x14ac:dyDescent="0.15">
      <c r="A14" s="103">
        <v>45777</v>
      </c>
      <c r="B14" s="22">
        <v>20.309999999999999</v>
      </c>
      <c r="C14" s="105">
        <f t="shared" si="1"/>
        <v>0.26292466765140327</v>
      </c>
      <c r="E14">
        <f t="shared" si="0"/>
        <v>0.13905525126611662</v>
      </c>
    </row>
    <row r="15" spans="1:5" x14ac:dyDescent="0.15">
      <c r="A15" s="104">
        <v>45747</v>
      </c>
      <c r="B15" s="24">
        <v>23.34</v>
      </c>
      <c r="C15" s="105">
        <f t="shared" si="1"/>
        <v>-0.12982005141388181</v>
      </c>
      <c r="E15">
        <f t="shared" si="0"/>
        <v>0.17234623276927682</v>
      </c>
    </row>
    <row r="16" spans="1:5" x14ac:dyDescent="0.15">
      <c r="A16" s="103">
        <v>45716</v>
      </c>
      <c r="B16" s="22">
        <v>27.73</v>
      </c>
      <c r="C16" s="105">
        <f t="shared" si="1"/>
        <v>-0.1583122971510999</v>
      </c>
      <c r="E16">
        <f t="shared" si="0"/>
        <v>-1.4895824925097327E-2</v>
      </c>
    </row>
    <row r="17" spans="1:5" x14ac:dyDescent="0.15">
      <c r="A17" s="104">
        <v>45688</v>
      </c>
      <c r="B17" s="24">
        <v>27.32</v>
      </c>
      <c r="C17" s="105">
        <f t="shared" si="1"/>
        <v>1.5007320644216697E-2</v>
      </c>
      <c r="E17">
        <f t="shared" si="0"/>
        <v>0.10253808833103804</v>
      </c>
    </row>
    <row r="18" spans="1:5" x14ac:dyDescent="0.15">
      <c r="A18" s="103">
        <v>45657</v>
      </c>
      <c r="B18" s="22">
        <v>30.27</v>
      </c>
      <c r="C18" s="105">
        <f t="shared" si="1"/>
        <v>-9.7456227287743613E-2</v>
      </c>
      <c r="E18">
        <f t="shared" si="0"/>
        <v>7.0467392259849868E-2</v>
      </c>
    </row>
    <row r="19" spans="1:5" x14ac:dyDescent="0.15">
      <c r="A19" s="104">
        <v>45625</v>
      </c>
      <c r="B19" s="24">
        <v>32.479999999999997</v>
      </c>
      <c r="C19" s="105">
        <f t="shared" si="1"/>
        <v>-6.804187192118219E-2</v>
      </c>
      <c r="E19">
        <f t="shared" si="0"/>
        <v>0.10261660679746221</v>
      </c>
    </row>
    <row r="20" spans="1:5" x14ac:dyDescent="0.15">
      <c r="A20" s="103">
        <v>45596</v>
      </c>
      <c r="B20" s="22">
        <v>35.99</v>
      </c>
      <c r="C20" s="105">
        <f t="shared" si="1"/>
        <v>-9.752709085857196E-2</v>
      </c>
      <c r="E20">
        <f t="shared" si="0"/>
        <v>0.14245230514571325</v>
      </c>
    </row>
    <row r="21" spans="1:5" x14ac:dyDescent="0.15">
      <c r="A21" s="104">
        <v>45565</v>
      </c>
      <c r="B21" s="24">
        <v>41.5</v>
      </c>
      <c r="C21" s="105">
        <f t="shared" si="1"/>
        <v>-0.13277108433734935</v>
      </c>
      <c r="E21">
        <f t="shared" si="0"/>
        <v>-2.4885402257442537E-2</v>
      </c>
    </row>
    <row r="22" spans="1:5" x14ac:dyDescent="0.15">
      <c r="A22" s="103">
        <v>45534</v>
      </c>
      <c r="B22" s="22">
        <v>40.479999999999997</v>
      </c>
      <c r="C22" s="105">
        <f t="shared" si="1"/>
        <v>2.5197628458498104E-2</v>
      </c>
      <c r="E22">
        <f t="shared" si="0"/>
        <v>0.27681543753288479</v>
      </c>
    </row>
    <row r="23" spans="1:5" x14ac:dyDescent="0.15">
      <c r="A23" s="104">
        <v>45504</v>
      </c>
      <c r="B23" s="24">
        <v>53.39</v>
      </c>
      <c r="C23" s="105">
        <f t="shared" si="1"/>
        <v>-0.24180558156958237</v>
      </c>
      <c r="E23">
        <f t="shared" si="0"/>
        <v>-0.10247193185985351</v>
      </c>
    </row>
    <row r="24" spans="1:5" x14ac:dyDescent="0.15">
      <c r="A24" s="103">
        <v>45471</v>
      </c>
      <c r="B24" s="22">
        <v>48.19</v>
      </c>
      <c r="C24" s="105">
        <f t="shared" si="1"/>
        <v>0.10790620460676495</v>
      </c>
      <c r="E24">
        <f t="shared" si="0"/>
        <v>-3.312189704463029E-2</v>
      </c>
    </row>
    <row r="25" spans="1:5" x14ac:dyDescent="0.15">
      <c r="A25" s="104">
        <v>45443</v>
      </c>
      <c r="B25" s="24">
        <v>46.62</v>
      </c>
      <c r="C25" s="105">
        <f t="shared" si="1"/>
        <v>3.3676533676533685E-2</v>
      </c>
      <c r="E25">
        <f t="shared" si="0"/>
        <v>-0.18052137628980669</v>
      </c>
    </row>
    <row r="26" spans="1:5" x14ac:dyDescent="0.15">
      <c r="A26" s="103">
        <v>45412</v>
      </c>
      <c r="B26" s="22">
        <v>38.92</v>
      </c>
      <c r="C26" s="105">
        <f t="shared" si="1"/>
        <v>0.19784172661870492</v>
      </c>
      <c r="E26">
        <f t="shared" si="0"/>
        <v>0.29108070985700341</v>
      </c>
    </row>
    <row r="27" spans="1:5" x14ac:dyDescent="0.15">
      <c r="A27" s="104">
        <v>45379</v>
      </c>
      <c r="B27" s="24">
        <v>52.07</v>
      </c>
      <c r="C27" s="105">
        <f t="shared" si="1"/>
        <v>-0.25254465143076626</v>
      </c>
      <c r="E27">
        <f t="shared" si="0"/>
        <v>-2.8835038870962892E-2</v>
      </c>
    </row>
    <row r="28" spans="1:5" x14ac:dyDescent="0.15">
      <c r="A28" s="103">
        <v>45351</v>
      </c>
      <c r="B28" s="22">
        <v>50.59</v>
      </c>
      <c r="C28" s="105">
        <f t="shared" si="1"/>
        <v>2.9254793437438167E-2</v>
      </c>
      <c r="E28">
        <f t="shared" si="0"/>
        <v>0.22001551724577886</v>
      </c>
    </row>
    <row r="29" spans="1:5" x14ac:dyDescent="0.15">
      <c r="A29" s="104">
        <v>45322</v>
      </c>
      <c r="B29" s="24">
        <v>63.04</v>
      </c>
      <c r="C29" s="105">
        <f t="shared" si="1"/>
        <v>-0.19749365482233497</v>
      </c>
      <c r="E29">
        <f t="shared" si="0"/>
        <v>6.8061812128143842E-2</v>
      </c>
    </row>
    <row r="30" spans="1:5" x14ac:dyDescent="0.15">
      <c r="A30" s="103">
        <v>45289</v>
      </c>
      <c r="B30" s="22">
        <v>67.48</v>
      </c>
      <c r="C30" s="105">
        <f t="shared" si="1"/>
        <v>-6.5797273266153006E-2</v>
      </c>
      <c r="E30">
        <f t="shared" si="0"/>
        <v>-7.6504713734046645E-2</v>
      </c>
    </row>
    <row r="31" spans="1:5" x14ac:dyDescent="0.15">
      <c r="A31" s="104">
        <v>45260</v>
      </c>
      <c r="B31" s="24">
        <v>62.51</v>
      </c>
      <c r="C31" s="105">
        <f t="shared" si="1"/>
        <v>7.9507278835386441E-2</v>
      </c>
      <c r="E31">
        <f t="shared" si="0"/>
        <v>0.26490831037882945</v>
      </c>
    </row>
    <row r="32" spans="1:5" x14ac:dyDescent="0.15">
      <c r="A32" s="103">
        <v>45230</v>
      </c>
      <c r="B32" s="22">
        <v>81.47</v>
      </c>
      <c r="C32" s="105">
        <f t="shared" si="1"/>
        <v>-0.23272370197618758</v>
      </c>
      <c r="E32">
        <f t="shared" si="0"/>
        <v>0.19569275029860839</v>
      </c>
    </row>
    <row r="33" spans="1:5" x14ac:dyDescent="0.15">
      <c r="A33" s="104">
        <v>45198</v>
      </c>
      <c r="B33" s="24">
        <v>99.08</v>
      </c>
      <c r="C33" s="105">
        <f t="shared" si="1"/>
        <v>-0.17773516350423899</v>
      </c>
      <c r="E33">
        <f t="shared" si="0"/>
        <v>0.11188941832707529</v>
      </c>
    </row>
    <row r="34" spans="1:5" x14ac:dyDescent="0.15">
      <c r="A34" s="103">
        <v>45169</v>
      </c>
      <c r="B34" s="22">
        <v>110.81</v>
      </c>
      <c r="C34" s="105">
        <f t="shared" si="1"/>
        <v>-0.1058568721234546</v>
      </c>
      <c r="E34">
        <f t="shared" si="0"/>
        <v>9.7885923696455525E-3</v>
      </c>
    </row>
    <row r="35" spans="1:5" x14ac:dyDescent="0.15">
      <c r="A35" s="104">
        <v>45138</v>
      </c>
      <c r="B35" s="24">
        <v>111.9</v>
      </c>
      <c r="C35" s="105">
        <f t="shared" si="1"/>
        <v>-9.7408400357462312E-3</v>
      </c>
      <c r="E35">
        <f t="shared" si="0"/>
        <v>-3.0763280685763322E-2</v>
      </c>
    </row>
    <row r="36" spans="1:5" x14ac:dyDescent="0.15">
      <c r="A36" s="103">
        <v>45107</v>
      </c>
      <c r="B36" s="22">
        <v>108.51</v>
      </c>
      <c r="C36" s="105">
        <f t="shared" si="1"/>
        <v>3.1241360243295553E-2</v>
      </c>
      <c r="E36">
        <f t="shared" si="0"/>
        <v>-0.19910524553612044</v>
      </c>
    </row>
    <row r="37" spans="1:5" x14ac:dyDescent="0.15">
      <c r="A37" s="104">
        <v>45077</v>
      </c>
      <c r="B37" s="24">
        <v>88.92</v>
      </c>
      <c r="C37" s="105">
        <f t="shared" si="1"/>
        <v>0.22031039136302297</v>
      </c>
      <c r="E37">
        <f t="shared" si="0"/>
        <v>0.22062125468826449</v>
      </c>
    </row>
    <row r="38" spans="1:5" x14ac:dyDescent="0.15">
      <c r="A38" s="103">
        <v>45044</v>
      </c>
      <c r="B38" s="22">
        <v>110.87</v>
      </c>
      <c r="C38" s="105">
        <f t="shared" si="1"/>
        <v>-0.1979796157662127</v>
      </c>
      <c r="E38">
        <f t="shared" si="0"/>
        <v>9.0485387334009945E-2</v>
      </c>
    </row>
    <row r="39" spans="1:5" x14ac:dyDescent="0.15">
      <c r="A39" s="104">
        <v>45016</v>
      </c>
      <c r="B39" s="24">
        <v>121.37</v>
      </c>
      <c r="C39" s="105">
        <f t="shared" si="1"/>
        <v>-8.6512317706187683E-2</v>
      </c>
      <c r="E39">
        <f t="shared" si="0"/>
        <v>-3.2405397534056475E-2</v>
      </c>
    </row>
    <row r="40" spans="1:5" x14ac:dyDescent="0.15">
      <c r="A40" s="103">
        <v>44985</v>
      </c>
      <c r="B40" s="22">
        <v>117.5</v>
      </c>
      <c r="C40" s="105">
        <f t="shared" si="1"/>
        <v>3.2936170212765993E-2</v>
      </c>
      <c r="E40">
        <f t="shared" si="0"/>
        <v>5.0087120289765991E-3</v>
      </c>
    </row>
    <row r="41" spans="1:5" x14ac:dyDescent="0.15">
      <c r="A41" s="104">
        <v>44957</v>
      </c>
      <c r="B41" s="24">
        <v>118.09</v>
      </c>
      <c r="C41" s="105">
        <f t="shared" si="1"/>
        <v>-4.9961893471081667E-3</v>
      </c>
      <c r="E41">
        <f t="shared" si="0"/>
        <v>-0.25806325525580731</v>
      </c>
    </row>
    <row r="42" spans="1:5" x14ac:dyDescent="0.15">
      <c r="A42" s="103">
        <v>44925</v>
      </c>
      <c r="B42" s="22">
        <v>91.23</v>
      </c>
      <c r="C42" s="105">
        <f t="shared" si="1"/>
        <v>0.29442069494683765</v>
      </c>
      <c r="E42">
        <f t="shared" si="0"/>
        <v>0.15099825526255439</v>
      </c>
    </row>
    <row r="43" spans="1:5" x14ac:dyDescent="0.15">
      <c r="A43" s="104">
        <v>44895</v>
      </c>
      <c r="B43" s="24">
        <v>106.1</v>
      </c>
      <c r="C43" s="105">
        <f t="shared" si="1"/>
        <v>-0.14015080113100839</v>
      </c>
      <c r="E43">
        <f t="shared" si="0"/>
        <v>-0.18875123098683122</v>
      </c>
    </row>
    <row r="44" spans="1:5" x14ac:dyDescent="0.15">
      <c r="A44" s="103">
        <v>44865</v>
      </c>
      <c r="B44" s="22">
        <v>87.85</v>
      </c>
      <c r="C44" s="105">
        <f t="shared" si="1"/>
        <v>0.20774046670461013</v>
      </c>
      <c r="E44">
        <f t="shared" si="0"/>
        <v>-0.10517081633069003</v>
      </c>
    </row>
    <row r="45" spans="1:5" x14ac:dyDescent="0.15">
      <c r="A45" s="104">
        <v>44834</v>
      </c>
      <c r="B45" s="24">
        <v>79.08</v>
      </c>
      <c r="C45" s="105">
        <f t="shared" si="1"/>
        <v>0.11090035407182595</v>
      </c>
      <c r="E45">
        <f t="shared" si="0"/>
        <v>0.16439501377064944</v>
      </c>
    </row>
    <row r="46" spans="1:5" x14ac:dyDescent="0.15">
      <c r="A46" s="103">
        <v>44804</v>
      </c>
      <c r="B46" s="22">
        <v>93.21</v>
      </c>
      <c r="C46" s="105">
        <f t="shared" si="1"/>
        <v>-0.15159317669777916</v>
      </c>
      <c r="E46">
        <f t="shared" si="0"/>
        <v>1.5436512405036211E-2</v>
      </c>
    </row>
    <row r="47" spans="1:5" x14ac:dyDescent="0.15">
      <c r="A47" s="104">
        <v>44771</v>
      </c>
      <c r="B47" s="24">
        <v>94.66</v>
      </c>
      <c r="C47" s="105">
        <f t="shared" si="1"/>
        <v>-1.531798013944647E-2</v>
      </c>
      <c r="E47">
        <f t="shared" si="0"/>
        <v>-0.16153756905479363</v>
      </c>
    </row>
    <row r="48" spans="1:5" x14ac:dyDescent="0.15">
      <c r="A48" s="103">
        <v>44742</v>
      </c>
      <c r="B48" s="22">
        <v>80.540000000000006</v>
      </c>
      <c r="C48" s="105">
        <f t="shared" si="1"/>
        <v>0.17531661286317343</v>
      </c>
      <c r="E48">
        <f t="shared" si="0"/>
        <v>1.8209164540604963E-2</v>
      </c>
    </row>
    <row r="49" spans="1:5" x14ac:dyDescent="0.15">
      <c r="A49" s="104">
        <v>44712</v>
      </c>
      <c r="B49" s="24">
        <v>82.02</v>
      </c>
      <c r="C49" s="105">
        <f t="shared" si="1"/>
        <v>-1.804437941965362E-2</v>
      </c>
      <c r="E49">
        <f t="shared" si="0"/>
        <v>-1.708359170824398E-3</v>
      </c>
    </row>
    <row r="50" spans="1:5" x14ac:dyDescent="0.15">
      <c r="A50" s="103">
        <v>44680</v>
      </c>
      <c r="B50" s="22">
        <v>81.88</v>
      </c>
      <c r="C50" s="105">
        <f t="shared" si="1"/>
        <v>1.7098192476795381E-3</v>
      </c>
      <c r="E50">
        <f t="shared" si="0"/>
        <v>0.17920238359746113</v>
      </c>
    </row>
    <row r="51" spans="1:5" x14ac:dyDescent="0.15">
      <c r="A51" s="104">
        <v>44651</v>
      </c>
      <c r="B51" s="24">
        <v>97.95</v>
      </c>
      <c r="C51" s="105">
        <f t="shared" si="1"/>
        <v>-0.16406329760081681</v>
      </c>
      <c r="E51">
        <f t="shared" si="0"/>
        <v>0.18639695723847285</v>
      </c>
    </row>
    <row r="52" spans="1:5" x14ac:dyDescent="0.15">
      <c r="A52" s="103">
        <v>44620</v>
      </c>
      <c r="B52" s="22">
        <v>118.02</v>
      </c>
      <c r="C52" s="105">
        <f t="shared" si="1"/>
        <v>-0.17005592272496181</v>
      </c>
      <c r="E52">
        <f t="shared" si="0"/>
        <v>0.12002120392662848</v>
      </c>
    </row>
    <row r="53" spans="1:5" x14ac:dyDescent="0.15">
      <c r="A53" s="104">
        <v>44592</v>
      </c>
      <c r="B53" s="24">
        <v>133.07</v>
      </c>
      <c r="C53" s="105">
        <f t="shared" si="1"/>
        <v>-0.11309836927932665</v>
      </c>
      <c r="E53">
        <f t="shared" si="0"/>
        <v>0.24551119384616504</v>
      </c>
    </row>
    <row r="54" spans="1:5" x14ac:dyDescent="0.15">
      <c r="A54" s="103">
        <v>44561</v>
      </c>
      <c r="B54" s="22">
        <v>170.1</v>
      </c>
      <c r="C54" s="105">
        <f t="shared" si="1"/>
        <v>-0.21769547325102881</v>
      </c>
      <c r="E54">
        <f t="shared" si="0"/>
        <v>3.278982282299097E-2</v>
      </c>
    </row>
    <row r="55" spans="1:5" x14ac:dyDescent="0.15">
      <c r="A55" s="104">
        <v>44530</v>
      </c>
      <c r="B55" s="24">
        <v>175.77</v>
      </c>
      <c r="C55" s="105">
        <f t="shared" si="1"/>
        <v>-3.2258064516129122E-2</v>
      </c>
      <c r="E55">
        <f t="shared" si="0"/>
        <v>-8.8082564479989911E-2</v>
      </c>
    </row>
    <row r="56" spans="1:5" x14ac:dyDescent="0.15">
      <c r="A56" s="103">
        <v>44498</v>
      </c>
      <c r="B56" s="22">
        <v>160.94999999999999</v>
      </c>
      <c r="C56" s="105">
        <f t="shared" si="1"/>
        <v>9.2078285181733596E-2</v>
      </c>
      <c r="E56">
        <f t="shared" si="0"/>
        <v>-0.10753747188998221</v>
      </c>
    </row>
    <row r="57" spans="1:5" x14ac:dyDescent="0.15">
      <c r="A57" s="104">
        <v>44469</v>
      </c>
      <c r="B57" s="24">
        <v>144.54</v>
      </c>
      <c r="C57" s="105">
        <f t="shared" si="1"/>
        <v>0.11353258613532584</v>
      </c>
      <c r="E57">
        <f t="shared" si="0"/>
        <v>6.1251160212406071E-2</v>
      </c>
    </row>
    <row r="58" spans="1:5" x14ac:dyDescent="0.15">
      <c r="A58" s="103">
        <v>44439</v>
      </c>
      <c r="B58" s="22">
        <v>153.66999999999999</v>
      </c>
      <c r="C58" s="105">
        <f t="shared" si="1"/>
        <v>-5.94130279169649E-2</v>
      </c>
      <c r="E58">
        <f t="shared" si="0"/>
        <v>4.9945343946909297E-2</v>
      </c>
    </row>
    <row r="59" spans="1:5" x14ac:dyDescent="0.15">
      <c r="A59" s="104">
        <v>44407</v>
      </c>
      <c r="B59" s="24">
        <v>161.54</v>
      </c>
      <c r="C59" s="105">
        <f t="shared" si="1"/>
        <v>-4.8718583632536866E-2</v>
      </c>
      <c r="E59">
        <f t="shared" si="0"/>
        <v>-3.7078648482908115E-2</v>
      </c>
    </row>
    <row r="60" spans="1:5" x14ac:dyDescent="0.15">
      <c r="A60" s="103">
        <v>44377</v>
      </c>
      <c r="B60" s="22">
        <v>155.66</v>
      </c>
      <c r="C60" s="105">
        <f t="shared" si="1"/>
        <v>3.7774637029423075E-2</v>
      </c>
      <c r="E60">
        <f t="shared" si="0"/>
        <v>-1.1570355472197958E-3</v>
      </c>
    </row>
    <row r="61" spans="1:5" x14ac:dyDescent="0.15">
      <c r="A61" s="104">
        <v>44344</v>
      </c>
      <c r="B61" s="24">
        <v>155.47999999999999</v>
      </c>
      <c r="C61" s="105">
        <f t="shared" si="1"/>
        <v>1.1577051710831416E-3</v>
      </c>
      <c r="E61">
        <f t="shared" si="0"/>
        <v>-1.4577045393937497E-2</v>
      </c>
    </row>
    <row r="62" spans="1:5" x14ac:dyDescent="0.15">
      <c r="A62" s="103">
        <v>44316</v>
      </c>
      <c r="B62" s="22">
        <v>153.22999999999999</v>
      </c>
      <c r="C62" s="105">
        <f t="shared" si="1"/>
        <v>1.4683808653657902E-2</v>
      </c>
      <c r="E62">
        <f t="shared" si="0"/>
        <v>-0.18728064475169759</v>
      </c>
    </row>
    <row r="63" spans="1:5" x14ac:dyDescent="0.15">
      <c r="A63" s="104">
        <v>44286</v>
      </c>
      <c r="B63" s="24">
        <v>127.06</v>
      </c>
      <c r="C63" s="105">
        <f t="shared" si="1"/>
        <v>0.20596568550291192</v>
      </c>
      <c r="E63">
        <f t="shared" si="0"/>
        <v>7.0807602974144507E-4</v>
      </c>
    </row>
    <row r="64" spans="1:5" x14ac:dyDescent="0.15">
      <c r="A64" s="103">
        <v>44253</v>
      </c>
      <c r="B64" s="22">
        <v>127.15</v>
      </c>
      <c r="C64" s="105">
        <f t="shared" si="1"/>
        <v>-7.0782540306727024E-4</v>
      </c>
      <c r="E64">
        <f t="shared" si="0"/>
        <v>-6.0880258106381382E-2</v>
      </c>
    </row>
    <row r="65" spans="1:5" x14ac:dyDescent="0.15">
      <c r="A65" s="104">
        <v>44225</v>
      </c>
      <c r="B65" s="24">
        <v>119.64</v>
      </c>
      <c r="C65" s="105">
        <f t="shared" si="1"/>
        <v>6.2771648278167877E-2</v>
      </c>
      <c r="E65">
        <f t="shared" si="0"/>
        <v>-0.12378773798117565</v>
      </c>
    </row>
    <row r="66" spans="1:5" x14ac:dyDescent="0.15">
      <c r="A66" s="103">
        <v>44196</v>
      </c>
      <c r="B66" s="22">
        <v>105.71</v>
      </c>
      <c r="C66" s="105">
        <f t="shared" si="1"/>
        <v>0.13177561252483216</v>
      </c>
      <c r="E66">
        <f t="shared" si="0"/>
        <v>-0.19169273460535166</v>
      </c>
    </row>
    <row r="67" spans="1:5" x14ac:dyDescent="0.15">
      <c r="A67" s="104">
        <v>44165</v>
      </c>
      <c r="B67" s="24">
        <v>87.27</v>
      </c>
      <c r="C67" s="105">
        <f t="shared" si="1"/>
        <v>0.21129826973759594</v>
      </c>
      <c r="E67">
        <f t="shared" ref="E67:E130" si="2">LN(B68/B67)</f>
        <v>-3.7238034606524251E-2</v>
      </c>
    </row>
    <row r="68" spans="1:5" x14ac:dyDescent="0.15">
      <c r="A68" s="103">
        <v>44134</v>
      </c>
      <c r="B68" s="22">
        <v>84.08</v>
      </c>
      <c r="C68" s="105">
        <f t="shared" ref="C68:C131" si="3">(B67-B68)/B68</f>
        <v>3.7940057088487127E-2</v>
      </c>
      <c r="E68">
        <f t="shared" si="2"/>
        <v>-0.12325408783149353</v>
      </c>
    </row>
    <row r="69" spans="1:5" x14ac:dyDescent="0.15">
      <c r="A69" s="104">
        <v>44104</v>
      </c>
      <c r="B69" s="24">
        <v>74.33</v>
      </c>
      <c r="C69" s="105">
        <f t="shared" si="3"/>
        <v>0.13117180142607293</v>
      </c>
      <c r="E69">
        <f t="shared" si="2"/>
        <v>0.30472291832864812</v>
      </c>
    </row>
    <row r="70" spans="1:5" x14ac:dyDescent="0.15">
      <c r="A70" s="103">
        <v>44074</v>
      </c>
      <c r="B70" s="22">
        <v>100.81</v>
      </c>
      <c r="C70" s="105">
        <f t="shared" si="3"/>
        <v>-0.26267235393314159</v>
      </c>
      <c r="E70">
        <f t="shared" si="2"/>
        <v>-0.12460118733371031</v>
      </c>
    </row>
    <row r="71" spans="1:5" x14ac:dyDescent="0.15">
      <c r="A71" s="104">
        <v>44043</v>
      </c>
      <c r="B71" s="24">
        <v>89</v>
      </c>
      <c r="C71" s="105">
        <f t="shared" si="3"/>
        <v>0.13269662921348316</v>
      </c>
      <c r="E71">
        <f t="shared" si="2"/>
        <v>-7.4505631157725974E-2</v>
      </c>
    </row>
    <row r="72" spans="1:5" x14ac:dyDescent="0.15">
      <c r="A72" s="103">
        <v>44012</v>
      </c>
      <c r="B72" s="22">
        <v>82.61</v>
      </c>
      <c r="C72" s="105">
        <f t="shared" si="3"/>
        <v>7.7351410240890942E-2</v>
      </c>
      <c r="E72">
        <f t="shared" si="2"/>
        <v>-0.13593800764574579</v>
      </c>
    </row>
    <row r="73" spans="1:5" x14ac:dyDescent="0.15">
      <c r="A73" s="104">
        <v>43980</v>
      </c>
      <c r="B73" s="24">
        <v>72.11</v>
      </c>
      <c r="C73" s="105">
        <f t="shared" si="3"/>
        <v>0.14561087227846345</v>
      </c>
      <c r="E73">
        <f t="shared" si="2"/>
        <v>-0.346171038993833</v>
      </c>
    </row>
    <row r="74" spans="1:5" x14ac:dyDescent="0.15">
      <c r="A74" s="103">
        <v>43951</v>
      </c>
      <c r="B74" s="22">
        <v>51.01</v>
      </c>
      <c r="C74" s="105">
        <f t="shared" si="3"/>
        <v>0.41364438345422472</v>
      </c>
      <c r="E74">
        <f t="shared" si="2"/>
        <v>-0.19435207365146681</v>
      </c>
    </row>
    <row r="75" spans="1:5" x14ac:dyDescent="0.15">
      <c r="A75" s="104">
        <v>43921</v>
      </c>
      <c r="B75" s="24">
        <v>42</v>
      </c>
      <c r="C75" s="105">
        <f t="shared" si="3"/>
        <v>0.21452380952380948</v>
      </c>
      <c r="E75">
        <f t="shared" si="2"/>
        <v>0.41179424315981189</v>
      </c>
    </row>
    <row r="76" spans="1:5" x14ac:dyDescent="0.15">
      <c r="A76" s="103">
        <v>43889</v>
      </c>
      <c r="B76" s="22">
        <v>63.4</v>
      </c>
      <c r="C76" s="105">
        <f t="shared" si="3"/>
        <v>-0.33753943217665616</v>
      </c>
      <c r="E76">
        <f t="shared" si="2"/>
        <v>3.7459882072013541E-2</v>
      </c>
    </row>
    <row r="77" spans="1:5" x14ac:dyDescent="0.15">
      <c r="A77" s="104">
        <v>43861</v>
      </c>
      <c r="B77" s="24">
        <v>65.819999999999993</v>
      </c>
      <c r="C77" s="105">
        <f t="shared" si="3"/>
        <v>-3.6766940139775064E-2</v>
      </c>
      <c r="E77">
        <f t="shared" si="2"/>
        <v>5.5409696420356001E-2</v>
      </c>
    </row>
    <row r="78" spans="1:5" x14ac:dyDescent="0.15">
      <c r="A78" s="103">
        <v>43830</v>
      </c>
      <c r="B78" s="22">
        <v>69.569999999999993</v>
      </c>
      <c r="C78" s="105">
        <f t="shared" si="3"/>
        <v>-5.390254420008625E-2</v>
      </c>
      <c r="E78">
        <f t="shared" si="2"/>
        <v>-5.3739866810341437E-2</v>
      </c>
    </row>
    <row r="79" spans="1:5" x14ac:dyDescent="0.15">
      <c r="A79" s="104">
        <v>43798</v>
      </c>
      <c r="B79" s="24">
        <v>65.930000000000007</v>
      </c>
      <c r="C79" s="105">
        <f t="shared" si="3"/>
        <v>5.5210071287729194E-2</v>
      </c>
      <c r="E79">
        <f t="shared" si="2"/>
        <v>-7.8703799567645435E-2</v>
      </c>
    </row>
    <row r="80" spans="1:5" x14ac:dyDescent="0.15">
      <c r="A80" s="103">
        <v>43769</v>
      </c>
      <c r="B80" s="22">
        <v>60.94</v>
      </c>
      <c r="C80" s="105">
        <f t="shared" si="3"/>
        <v>8.1883820150968317E-2</v>
      </c>
      <c r="E80">
        <f t="shared" si="2"/>
        <v>2.1108106312573278E-2</v>
      </c>
    </row>
    <row r="81" spans="1:5" x14ac:dyDescent="0.15">
      <c r="A81" s="104">
        <v>43738</v>
      </c>
      <c r="B81" s="24">
        <v>62.24</v>
      </c>
      <c r="C81" s="105">
        <f t="shared" si="3"/>
        <v>-2.0886889460154309E-2</v>
      </c>
      <c r="E81">
        <f t="shared" si="2"/>
        <v>0.14622364043761915</v>
      </c>
    </row>
    <row r="82" spans="1:5" x14ac:dyDescent="0.15">
      <c r="A82" s="103">
        <v>43707</v>
      </c>
      <c r="B82" s="22">
        <v>72.040000000000006</v>
      </c>
      <c r="C82" s="105">
        <f t="shared" si="3"/>
        <v>-0.13603553581343703</v>
      </c>
      <c r="E82">
        <f t="shared" si="2"/>
        <v>0.10580461469920972</v>
      </c>
    </row>
    <row r="83" spans="1:5" x14ac:dyDescent="0.15">
      <c r="A83" s="104">
        <v>43677</v>
      </c>
      <c r="B83" s="24">
        <v>80.08</v>
      </c>
      <c r="C83" s="105">
        <f t="shared" si="3"/>
        <v>-0.1003996003996003</v>
      </c>
      <c r="E83">
        <f t="shared" si="2"/>
        <v>2.9893363109286704E-2</v>
      </c>
    </row>
    <row r="84" spans="1:5" x14ac:dyDescent="0.15">
      <c r="A84" s="103">
        <v>43644</v>
      </c>
      <c r="B84" s="22">
        <v>82.51</v>
      </c>
      <c r="C84" s="105">
        <f t="shared" si="3"/>
        <v>-2.9450975639316528E-2</v>
      </c>
      <c r="E84">
        <f t="shared" si="2"/>
        <v>-0.2079284158070876</v>
      </c>
    </row>
    <row r="85" spans="1:5" x14ac:dyDescent="0.15">
      <c r="A85" s="104">
        <v>43616</v>
      </c>
      <c r="B85" s="24">
        <v>67.02</v>
      </c>
      <c r="C85" s="105">
        <f t="shared" si="3"/>
        <v>0.23112503730229797</v>
      </c>
      <c r="E85">
        <f t="shared" si="2"/>
        <v>0.14657634488000873</v>
      </c>
    </row>
    <row r="86" spans="1:5" x14ac:dyDescent="0.15">
      <c r="A86" s="103">
        <v>43585</v>
      </c>
      <c r="B86" s="22">
        <v>77.599999999999994</v>
      </c>
      <c r="C86" s="105">
        <f t="shared" si="3"/>
        <v>-0.136340206185567</v>
      </c>
      <c r="E86">
        <f t="shared" si="2"/>
        <v>-0.10464484970013539</v>
      </c>
    </row>
    <row r="87" spans="1:5" x14ac:dyDescent="0.15">
      <c r="A87" s="104">
        <v>43553</v>
      </c>
      <c r="B87" s="24">
        <v>69.89</v>
      </c>
      <c r="C87" s="105">
        <f t="shared" si="3"/>
        <v>0.11031621118901121</v>
      </c>
      <c r="E87">
        <f t="shared" si="2"/>
        <v>-9.7774223226262891E-2</v>
      </c>
    </row>
    <row r="88" spans="1:5" x14ac:dyDescent="0.15">
      <c r="A88" s="103">
        <v>43524</v>
      </c>
      <c r="B88" s="22">
        <v>63.38</v>
      </c>
      <c r="C88" s="105">
        <f t="shared" si="3"/>
        <v>0.10271378983906591</v>
      </c>
      <c r="E88">
        <f t="shared" si="2"/>
        <v>-6.6033273992222821E-2</v>
      </c>
    </row>
    <row r="89" spans="1:5" x14ac:dyDescent="0.15">
      <c r="A89" s="104">
        <v>43496</v>
      </c>
      <c r="B89" s="24">
        <v>59.33</v>
      </c>
      <c r="C89" s="105">
        <f t="shared" si="3"/>
        <v>6.8262261924827317E-2</v>
      </c>
      <c r="E89">
        <f t="shared" si="2"/>
        <v>-7.7834572303818947E-3</v>
      </c>
    </row>
    <row r="90" spans="1:5" x14ac:dyDescent="0.15">
      <c r="A90" s="103">
        <v>43465</v>
      </c>
      <c r="B90" s="22">
        <v>58.87</v>
      </c>
      <c r="C90" s="105">
        <f t="shared" si="3"/>
        <v>7.8138270766094937E-3</v>
      </c>
      <c r="E90">
        <f t="shared" si="2"/>
        <v>7.9009913088226913E-2</v>
      </c>
    </row>
    <row r="91" spans="1:5" x14ac:dyDescent="0.15">
      <c r="A91" s="104">
        <v>43434</v>
      </c>
      <c r="B91" s="24">
        <v>63.71</v>
      </c>
      <c r="C91" s="105">
        <f t="shared" si="3"/>
        <v>-7.5969235598807153E-2</v>
      </c>
      <c r="E91">
        <f t="shared" si="2"/>
        <v>-0.17037003138766679</v>
      </c>
    </row>
    <row r="92" spans="1:5" x14ac:dyDescent="0.15">
      <c r="A92" s="103">
        <v>43404</v>
      </c>
      <c r="B92" s="22">
        <v>53.73</v>
      </c>
      <c r="C92" s="105">
        <f t="shared" si="3"/>
        <v>0.18574353247720091</v>
      </c>
      <c r="E92">
        <f t="shared" si="2"/>
        <v>0.26523776804228594</v>
      </c>
    </row>
    <row r="93" spans="1:5" x14ac:dyDescent="0.15">
      <c r="A93" s="104">
        <v>43371</v>
      </c>
      <c r="B93" s="24">
        <v>70.05</v>
      </c>
      <c r="C93" s="105">
        <f t="shared" si="3"/>
        <v>-0.23297644539614562</v>
      </c>
      <c r="E93">
        <f t="shared" si="2"/>
        <v>-5.8797241814681628E-2</v>
      </c>
    </row>
    <row r="94" spans="1:5" x14ac:dyDescent="0.15">
      <c r="A94" s="103">
        <v>43343</v>
      </c>
      <c r="B94" s="22">
        <v>66.05</v>
      </c>
      <c r="C94" s="105">
        <f t="shared" si="3"/>
        <v>6.0560181680545042E-2</v>
      </c>
      <c r="E94">
        <f t="shared" si="2"/>
        <v>-0.28440709786575114</v>
      </c>
    </row>
    <row r="95" spans="1:5" x14ac:dyDescent="0.15">
      <c r="A95" s="104">
        <v>43312</v>
      </c>
      <c r="B95" s="24">
        <v>49.7</v>
      </c>
      <c r="C95" s="105">
        <f t="shared" si="3"/>
        <v>0.32897384305834998</v>
      </c>
      <c r="E95">
        <f t="shared" si="2"/>
        <v>-6.547792937950711E-2</v>
      </c>
    </row>
    <row r="96" spans="1:5" x14ac:dyDescent="0.15">
      <c r="A96" s="103">
        <v>43280</v>
      </c>
      <c r="B96" s="22">
        <v>46.55</v>
      </c>
      <c r="C96" s="105">
        <f t="shared" si="3"/>
        <v>6.7669172932330948E-2</v>
      </c>
      <c r="E96">
        <f t="shared" si="2"/>
        <v>-0.15791716262273509</v>
      </c>
    </row>
    <row r="97" spans="1:5" x14ac:dyDescent="0.15">
      <c r="A97" s="104">
        <v>43251</v>
      </c>
      <c r="B97" s="24">
        <v>39.75</v>
      </c>
      <c r="C97" s="105">
        <f t="shared" si="3"/>
        <v>0.17106918238993704</v>
      </c>
      <c r="E97">
        <f t="shared" si="2"/>
        <v>-0.17855507399847773</v>
      </c>
    </row>
    <row r="98" spans="1:5" x14ac:dyDescent="0.15">
      <c r="A98" s="103">
        <v>43220</v>
      </c>
      <c r="B98" s="22">
        <v>33.25</v>
      </c>
      <c r="C98" s="105">
        <f t="shared" si="3"/>
        <v>0.19548872180451127</v>
      </c>
      <c r="E98">
        <f t="shared" si="2"/>
        <v>4.8432062106518299E-2</v>
      </c>
    </row>
    <row r="99" spans="1:5" x14ac:dyDescent="0.15">
      <c r="A99" s="104">
        <v>43188</v>
      </c>
      <c r="B99" s="24">
        <v>34.9</v>
      </c>
      <c r="C99" s="105">
        <f t="shared" si="3"/>
        <v>-4.7277936962750677E-2</v>
      </c>
      <c r="E99">
        <f t="shared" si="2"/>
        <v>7.3186549001762233E-2</v>
      </c>
    </row>
    <row r="100" spans="1:5" x14ac:dyDescent="0.15">
      <c r="A100" s="103">
        <v>43159</v>
      </c>
      <c r="B100" s="22">
        <v>37.549999999999997</v>
      </c>
      <c r="C100" s="105">
        <f t="shared" si="3"/>
        <v>-7.0572569906790908E-2</v>
      </c>
      <c r="E100">
        <f t="shared" si="2"/>
        <v>2.1081149603121584E-2</v>
      </c>
    </row>
    <row r="101" spans="1:5" x14ac:dyDescent="0.15">
      <c r="A101" s="104">
        <v>43131</v>
      </c>
      <c r="B101" s="24">
        <v>38.35</v>
      </c>
      <c r="C101" s="105">
        <f t="shared" si="3"/>
        <v>-2.0860495436766734E-2</v>
      </c>
      <c r="E101">
        <f t="shared" si="2"/>
        <v>1.2953549000391187E-2</v>
      </c>
    </row>
    <row r="102" spans="1:5" x14ac:dyDescent="0.15">
      <c r="A102" s="103">
        <v>43098</v>
      </c>
      <c r="B102" s="22">
        <v>38.85</v>
      </c>
      <c r="C102" s="105">
        <f t="shared" si="3"/>
        <v>-1.2870012870012869E-2</v>
      </c>
      <c r="E102">
        <f t="shared" si="2"/>
        <v>3.8535693159899723E-3</v>
      </c>
    </row>
    <row r="103" spans="1:5" x14ac:dyDescent="0.15">
      <c r="A103" s="104">
        <v>43069</v>
      </c>
      <c r="B103" s="24">
        <v>39</v>
      </c>
      <c r="C103" s="105">
        <f t="shared" si="3"/>
        <v>-3.8461538461538095E-3</v>
      </c>
      <c r="E103">
        <f t="shared" si="2"/>
        <v>8.711820888973662E-2</v>
      </c>
    </row>
    <row r="104" spans="1:5" x14ac:dyDescent="0.15">
      <c r="A104" s="103">
        <v>43039</v>
      </c>
      <c r="B104" s="22">
        <v>42.55</v>
      </c>
      <c r="C104" s="105">
        <f t="shared" si="3"/>
        <v>-8.3431257344300763E-2</v>
      </c>
      <c r="E104">
        <f t="shared" si="2"/>
        <v>1.2843142090319013E-2</v>
      </c>
    </row>
    <row r="105" spans="1:5" x14ac:dyDescent="0.15">
      <c r="A105" s="104">
        <v>43007</v>
      </c>
      <c r="B105" s="24">
        <v>43.1</v>
      </c>
      <c r="C105" s="105">
        <f t="shared" si="3"/>
        <v>-1.2761020881670632E-2</v>
      </c>
      <c r="E105">
        <f t="shared" si="2"/>
        <v>-7.4643542995765838E-2</v>
      </c>
    </row>
    <row r="106" spans="1:5" x14ac:dyDescent="0.15">
      <c r="A106" s="103">
        <v>42978</v>
      </c>
      <c r="B106" s="22">
        <v>40</v>
      </c>
      <c r="C106" s="105">
        <f t="shared" si="3"/>
        <v>7.7500000000000041E-2</v>
      </c>
      <c r="E106">
        <f t="shared" si="2"/>
        <v>-3.9520758162283273E-2</v>
      </c>
    </row>
    <row r="107" spans="1:5" x14ac:dyDescent="0.15">
      <c r="A107" s="104">
        <v>42947</v>
      </c>
      <c r="B107" s="24">
        <v>38.450000000000003</v>
      </c>
      <c r="C107" s="105">
        <f t="shared" si="3"/>
        <v>4.0312093628088352E-2</v>
      </c>
      <c r="E107">
        <f t="shared" si="2"/>
        <v>-7.7013058093668291E-2</v>
      </c>
    </row>
    <row r="108" spans="1:5" x14ac:dyDescent="0.15">
      <c r="A108" s="103">
        <v>42916</v>
      </c>
      <c r="B108" s="22">
        <v>35.6</v>
      </c>
      <c r="C108" s="105">
        <f t="shared" si="3"/>
        <v>8.0056179775280942E-2</v>
      </c>
      <c r="E108">
        <f t="shared" si="2"/>
        <v>-8.0393892927365304E-2</v>
      </c>
    </row>
    <row r="109" spans="1:5" x14ac:dyDescent="0.15">
      <c r="A109" s="104">
        <v>42886</v>
      </c>
      <c r="B109" s="24">
        <v>32.85</v>
      </c>
      <c r="C109" s="105">
        <f t="shared" si="3"/>
        <v>8.3713850837138504E-2</v>
      </c>
      <c r="E109">
        <f t="shared" si="2"/>
        <v>-8.9089083949402931E-2</v>
      </c>
    </row>
    <row r="110" spans="1:5" x14ac:dyDescent="0.15">
      <c r="A110" s="103">
        <v>42853</v>
      </c>
      <c r="B110" s="22">
        <v>30.05</v>
      </c>
      <c r="C110" s="105">
        <f t="shared" si="3"/>
        <v>9.3178036605657266E-2</v>
      </c>
      <c r="E110">
        <f t="shared" si="2"/>
        <v>-4.5965538215641234E-2</v>
      </c>
    </row>
    <row r="111" spans="1:5" x14ac:dyDescent="0.15">
      <c r="A111" s="104">
        <v>42825</v>
      </c>
      <c r="B111" s="24">
        <v>28.7</v>
      </c>
      <c r="C111" s="105">
        <f t="shared" si="3"/>
        <v>4.7038327526132455E-2</v>
      </c>
      <c r="E111">
        <f t="shared" si="2"/>
        <v>-6.849523524876433E-2</v>
      </c>
    </row>
    <row r="112" spans="1:5" x14ac:dyDescent="0.15">
      <c r="A112" s="103">
        <v>42794</v>
      </c>
      <c r="B112" s="22">
        <v>26.8</v>
      </c>
      <c r="C112" s="105">
        <f t="shared" si="3"/>
        <v>7.0895522388059642E-2</v>
      </c>
      <c r="E112">
        <f t="shared" si="2"/>
        <v>-3.4158918811318974E-2</v>
      </c>
    </row>
    <row r="113" spans="1:5" x14ac:dyDescent="0.15">
      <c r="A113" s="104">
        <v>42766</v>
      </c>
      <c r="B113" s="24">
        <v>25.9</v>
      </c>
      <c r="C113" s="105">
        <f t="shared" si="3"/>
        <v>3.4749034749034832E-2</v>
      </c>
      <c r="E113">
        <f t="shared" si="2"/>
        <v>6.8992871486951421E-2</v>
      </c>
    </row>
    <row r="114" spans="1:5" x14ac:dyDescent="0.15">
      <c r="A114" s="103">
        <v>42734</v>
      </c>
      <c r="B114" s="22">
        <v>27.75</v>
      </c>
      <c r="C114" s="105">
        <f t="shared" si="3"/>
        <v>-6.6666666666666721E-2</v>
      </c>
      <c r="E114">
        <f t="shared" si="2"/>
        <v>-0.10036799405470521</v>
      </c>
    </row>
    <row r="115" spans="1:5" x14ac:dyDescent="0.15">
      <c r="A115" s="104">
        <v>42704</v>
      </c>
      <c r="B115" s="24">
        <v>25.1</v>
      </c>
      <c r="C115" s="105">
        <f t="shared" si="3"/>
        <v>0.10557768924302782</v>
      </c>
      <c r="E115">
        <f t="shared" si="2"/>
        <v>-0.14555558559132445</v>
      </c>
    </row>
    <row r="116" spans="1:5" x14ac:dyDescent="0.15">
      <c r="A116" s="103">
        <v>42674</v>
      </c>
      <c r="B116" s="22">
        <v>21.7</v>
      </c>
      <c r="C116" s="105">
        <f t="shared" si="3"/>
        <v>0.15668202764976968</v>
      </c>
      <c r="E116">
        <f t="shared" si="2"/>
        <v>5.6876756154592957E-2</v>
      </c>
    </row>
    <row r="117" spans="1:5" x14ac:dyDescent="0.15">
      <c r="A117" s="104">
        <v>42643</v>
      </c>
      <c r="B117" s="24">
        <v>22.97</v>
      </c>
      <c r="C117" s="105">
        <f t="shared" si="3"/>
        <v>-5.5289508053983444E-2</v>
      </c>
      <c r="E117">
        <f t="shared" si="2"/>
        <v>-0.1011609584033188</v>
      </c>
    </row>
    <row r="118" spans="1:5" x14ac:dyDescent="0.15">
      <c r="A118" s="103">
        <v>42613</v>
      </c>
      <c r="B118" s="22">
        <v>20.76</v>
      </c>
      <c r="C118" s="105">
        <f t="shared" si="3"/>
        <v>0.10645472061657019</v>
      </c>
      <c r="E118">
        <f t="shared" si="2"/>
        <v>-7.8638748278079304E-2</v>
      </c>
    </row>
    <row r="119" spans="1:5" x14ac:dyDescent="0.15">
      <c r="A119" s="104">
        <v>42580</v>
      </c>
      <c r="B119" s="24">
        <v>19.190000000000001</v>
      </c>
      <c r="C119" s="105">
        <f t="shared" si="3"/>
        <v>8.1813444502344984E-2</v>
      </c>
      <c r="E119">
        <f t="shared" si="2"/>
        <v>-9.9644729766594983E-2</v>
      </c>
    </row>
    <row r="120" spans="1:5" x14ac:dyDescent="0.15">
      <c r="A120" s="103">
        <v>42551</v>
      </c>
      <c r="B120" s="22">
        <v>17.37</v>
      </c>
      <c r="C120" s="105">
        <f t="shared" si="3"/>
        <v>0.1047783534830167</v>
      </c>
      <c r="E120">
        <f t="shared" si="2"/>
        <v>-4.2935144859951098E-2</v>
      </c>
    </row>
    <row r="121" spans="1:5" x14ac:dyDescent="0.15">
      <c r="A121" s="104">
        <v>42521</v>
      </c>
      <c r="B121" s="24">
        <v>16.64</v>
      </c>
      <c r="C121" s="105">
        <f t="shared" si="3"/>
        <v>4.3870192307692332E-2</v>
      </c>
      <c r="E121">
        <f t="shared" si="2"/>
        <v>3.9474933795055185E-2</v>
      </c>
    </row>
    <row r="122" spans="1:5" x14ac:dyDescent="0.15">
      <c r="A122" s="103">
        <v>42489</v>
      </c>
      <c r="B122" s="22">
        <v>17.309999999999999</v>
      </c>
      <c r="C122" s="105">
        <f t="shared" si="3"/>
        <v>-3.8705950317735306E-2</v>
      </c>
      <c r="E122">
        <f t="shared" si="2"/>
        <v>-9.0641717966737159E-2</v>
      </c>
    </row>
    <row r="123" spans="1:5" x14ac:dyDescent="0.15">
      <c r="A123" s="104">
        <v>42460</v>
      </c>
      <c r="B123" s="24">
        <v>15.81</v>
      </c>
      <c r="C123" s="105">
        <f t="shared" si="3"/>
        <v>9.4876660341555868E-2</v>
      </c>
      <c r="E123">
        <f t="shared" si="2"/>
        <v>-5.7270039670281638E-2</v>
      </c>
    </row>
    <row r="124" spans="1:5" x14ac:dyDescent="0.15">
      <c r="A124" s="103">
        <v>42429</v>
      </c>
      <c r="B124" s="22">
        <v>14.93</v>
      </c>
      <c r="C124" s="105">
        <f t="shared" si="3"/>
        <v>5.894172806430012E-2</v>
      </c>
      <c r="E124">
        <f t="shared" si="2"/>
        <v>-9.4213348283905957E-3</v>
      </c>
    </row>
    <row r="125" spans="1:5" x14ac:dyDescent="0.15">
      <c r="A125" s="104">
        <v>42398</v>
      </c>
      <c r="B125" s="24">
        <v>14.79</v>
      </c>
      <c r="C125" s="105">
        <f t="shared" si="3"/>
        <v>9.4658553076403373E-3</v>
      </c>
      <c r="E125">
        <f t="shared" si="2"/>
        <v>0.1112256351102246</v>
      </c>
    </row>
    <row r="126" spans="1:5" x14ac:dyDescent="0.15">
      <c r="A126" s="103">
        <v>42369</v>
      </c>
      <c r="B126" s="22">
        <v>16.53</v>
      </c>
      <c r="C126" s="105">
        <f t="shared" si="3"/>
        <v>-0.10526315789473696</v>
      </c>
      <c r="E126">
        <f t="shared" si="2"/>
        <v>7.2334730333627043E-2</v>
      </c>
    </row>
    <row r="127" spans="1:5" x14ac:dyDescent="0.15">
      <c r="A127" s="104">
        <v>42338</v>
      </c>
      <c r="B127" s="24">
        <v>17.77</v>
      </c>
      <c r="C127" s="105">
        <f t="shared" si="3"/>
        <v>-6.9780528981429293E-2</v>
      </c>
      <c r="E127">
        <f t="shared" si="2"/>
        <v>-1.126126245135136E-3</v>
      </c>
    </row>
    <row r="128" spans="1:5" x14ac:dyDescent="0.15">
      <c r="A128" s="103">
        <v>42307</v>
      </c>
      <c r="B128" s="22">
        <v>17.75</v>
      </c>
      <c r="C128" s="105">
        <f t="shared" si="3"/>
        <v>1.1267605633802577E-3</v>
      </c>
      <c r="E128">
        <f t="shared" si="2"/>
        <v>-5.1441563347715477E-2</v>
      </c>
    </row>
    <row r="129" spans="1:5" x14ac:dyDescent="0.15">
      <c r="A129" s="104">
        <v>42277</v>
      </c>
      <c r="B129" s="24">
        <v>16.86</v>
      </c>
      <c r="C129" s="105">
        <f t="shared" si="3"/>
        <v>5.2787663107947844E-2</v>
      </c>
      <c r="E129">
        <f t="shared" si="2"/>
        <v>-0.11556130623772069</v>
      </c>
    </row>
    <row r="130" spans="1:5" x14ac:dyDescent="0.15">
      <c r="A130" s="103">
        <v>42247</v>
      </c>
      <c r="B130" s="22">
        <v>15.02</v>
      </c>
      <c r="C130" s="105">
        <f t="shared" si="3"/>
        <v>0.12250332889480692</v>
      </c>
      <c r="E130">
        <f t="shared" si="2"/>
        <v>5.5677809483001162E-2</v>
      </c>
    </row>
    <row r="131" spans="1:5" x14ac:dyDescent="0.15">
      <c r="A131" s="104">
        <v>42216</v>
      </c>
      <c r="B131" s="24">
        <v>15.88</v>
      </c>
      <c r="C131" s="105">
        <f t="shared" si="3"/>
        <v>-5.4156171284634833E-2</v>
      </c>
      <c r="E131">
        <f t="shared" ref="E131:E154" si="4">LN(B132/B131)</f>
        <v>1.2515807931830597E-2</v>
      </c>
    </row>
    <row r="132" spans="1:5" x14ac:dyDescent="0.15">
      <c r="A132" s="103">
        <v>42185</v>
      </c>
      <c r="B132" s="22">
        <v>16.079999999999998</v>
      </c>
      <c r="C132" s="105">
        <f t="shared" ref="C132:C154" si="5">(B131-B132)/B132</f>
        <v>-1.2437810945273478E-2</v>
      </c>
      <c r="E132">
        <f t="shared" si="4"/>
        <v>1.4202152882102222E-2</v>
      </c>
    </row>
    <row r="133" spans="1:5" x14ac:dyDescent="0.15">
      <c r="A133" s="104">
        <v>42153</v>
      </c>
      <c r="B133" s="24">
        <v>16.309999999999999</v>
      </c>
      <c r="C133" s="105">
        <f t="shared" si="5"/>
        <v>-1.4101778050275932E-2</v>
      </c>
      <c r="E133">
        <f t="shared" si="4"/>
        <v>-6.9168064199382609E-2</v>
      </c>
    </row>
    <row r="134" spans="1:5" x14ac:dyDescent="0.15">
      <c r="A134" s="103">
        <v>42124</v>
      </c>
      <c r="B134" s="22">
        <v>15.22</v>
      </c>
      <c r="C134" s="105">
        <f t="shared" si="5"/>
        <v>7.161629434953995E-2</v>
      </c>
      <c r="E134">
        <f t="shared" si="4"/>
        <v>7.8534435055703043E-3</v>
      </c>
    </row>
    <row r="135" spans="1:5" x14ac:dyDescent="0.15">
      <c r="A135" s="104">
        <v>42094</v>
      </c>
      <c r="B135" s="24">
        <v>15.34</v>
      </c>
      <c r="C135" s="105">
        <f t="shared" si="5"/>
        <v>-7.8226857887874323E-3</v>
      </c>
      <c r="E135">
        <f t="shared" si="4"/>
        <v>-2.9102582987696583E-2</v>
      </c>
    </row>
    <row r="136" spans="1:5" x14ac:dyDescent="0.15">
      <c r="A136" s="103">
        <v>42062</v>
      </c>
      <c r="B136" s="22">
        <v>14.9</v>
      </c>
      <c r="C136" s="105">
        <f t="shared" si="5"/>
        <v>2.9530201342281844E-2</v>
      </c>
      <c r="E136">
        <f t="shared" si="4"/>
        <v>1.9276103656268015E-2</v>
      </c>
    </row>
    <row r="137" spans="1:5" x14ac:dyDescent="0.15">
      <c r="A137" s="104">
        <v>42034</v>
      </c>
      <c r="B137" s="24">
        <v>15.19</v>
      </c>
      <c r="C137" s="105">
        <f t="shared" si="5"/>
        <v>-1.9091507570770189E-2</v>
      </c>
      <c r="E137">
        <f t="shared" si="4"/>
        <v>6.6224064918818493E-2</v>
      </c>
    </row>
    <row r="138" spans="1:5" x14ac:dyDescent="0.15">
      <c r="A138" s="103">
        <v>42004</v>
      </c>
      <c r="B138" s="22">
        <v>16.23</v>
      </c>
      <c r="C138" s="105">
        <f t="shared" si="5"/>
        <v>-6.4078866296980952E-2</v>
      </c>
      <c r="E138">
        <f t="shared" si="4"/>
        <v>-0.16873588795227679</v>
      </c>
    </row>
    <row r="139" spans="1:5" x14ac:dyDescent="0.15">
      <c r="A139" s="104">
        <v>41971</v>
      </c>
      <c r="B139" s="24">
        <v>13.71</v>
      </c>
      <c r="C139" s="105">
        <f t="shared" si="5"/>
        <v>0.18380743982494524</v>
      </c>
      <c r="E139">
        <f t="shared" si="4"/>
        <v>0.21155219564968525</v>
      </c>
    </row>
    <row r="140" spans="1:5" x14ac:dyDescent="0.15">
      <c r="A140" s="103">
        <v>41943</v>
      </c>
      <c r="B140" s="22">
        <v>16.940000000000001</v>
      </c>
      <c r="C140" s="105">
        <f t="shared" si="5"/>
        <v>-0.19067296340023615</v>
      </c>
      <c r="E140">
        <f t="shared" si="4"/>
        <v>-8.8837665298707416E-2</v>
      </c>
    </row>
    <row r="141" spans="1:5" x14ac:dyDescent="0.15">
      <c r="A141" s="104">
        <v>41912</v>
      </c>
      <c r="B141" s="24">
        <v>15.5</v>
      </c>
      <c r="C141" s="105">
        <f t="shared" si="5"/>
        <v>9.2903225806451689E-2</v>
      </c>
      <c r="E141">
        <f t="shared" si="4"/>
        <v>-1.8229671491661159E-2</v>
      </c>
    </row>
    <row r="142" spans="1:5" x14ac:dyDescent="0.15">
      <c r="A142" s="103">
        <v>41880</v>
      </c>
      <c r="B142" s="22">
        <v>15.22</v>
      </c>
      <c r="C142" s="105">
        <f t="shared" si="5"/>
        <v>1.8396846254927685E-2</v>
      </c>
      <c r="E142">
        <f t="shared" si="4"/>
        <v>-2.2592323028593989E-2</v>
      </c>
    </row>
    <row r="143" spans="1:5" x14ac:dyDescent="0.15">
      <c r="A143" s="104">
        <v>41851</v>
      </c>
      <c r="B143" s="24">
        <v>14.88</v>
      </c>
      <c r="C143" s="105">
        <f t="shared" si="5"/>
        <v>2.2849462365591388E-2</v>
      </c>
      <c r="E143">
        <f t="shared" si="4"/>
        <v>0.16731252934452101</v>
      </c>
    </row>
    <row r="144" spans="1:5" x14ac:dyDescent="0.15">
      <c r="A144" s="103">
        <v>41820</v>
      </c>
      <c r="B144" s="22">
        <v>17.59</v>
      </c>
      <c r="C144" s="105">
        <f t="shared" si="5"/>
        <v>-0.15406480955088114</v>
      </c>
      <c r="E144">
        <f t="shared" si="4"/>
        <v>-2.8837061621967287E-2</v>
      </c>
    </row>
    <row r="145" spans="1:5" x14ac:dyDescent="0.15">
      <c r="A145" s="104">
        <v>41789</v>
      </c>
      <c r="B145" s="24">
        <v>17.09</v>
      </c>
      <c r="C145" s="105">
        <f t="shared" si="5"/>
        <v>2.9256875365710942E-2</v>
      </c>
      <c r="E145">
        <f t="shared" si="4"/>
        <v>-5.8685614436589399E-3</v>
      </c>
    </row>
    <row r="146" spans="1:5" x14ac:dyDescent="0.15">
      <c r="A146" s="103">
        <v>41759</v>
      </c>
      <c r="B146" s="22">
        <v>16.989999999999998</v>
      </c>
      <c r="C146" s="105">
        <f t="shared" si="5"/>
        <v>5.8858151854032622E-3</v>
      </c>
      <c r="E146">
        <f t="shared" si="4"/>
        <v>0.106536986381756</v>
      </c>
    </row>
    <row r="147" spans="1:5" x14ac:dyDescent="0.15">
      <c r="A147" s="104">
        <v>41729</v>
      </c>
      <c r="B147" s="24">
        <v>18.899999999999999</v>
      </c>
      <c r="C147" s="105">
        <f t="shared" si="5"/>
        <v>-0.10105820105820107</v>
      </c>
      <c r="E147">
        <f t="shared" si="4"/>
        <v>-0.12375320264288726</v>
      </c>
    </row>
    <row r="148" spans="1:5" x14ac:dyDescent="0.15">
      <c r="A148" s="103">
        <v>41698</v>
      </c>
      <c r="B148" s="22">
        <v>16.7</v>
      </c>
      <c r="C148" s="105">
        <f t="shared" si="5"/>
        <v>0.13173652694610774</v>
      </c>
      <c r="E148">
        <f t="shared" si="4"/>
        <v>-2.9163670735442543E-2</v>
      </c>
    </row>
    <row r="149" spans="1:5" x14ac:dyDescent="0.15">
      <c r="A149" s="104">
        <v>41670</v>
      </c>
      <c r="B149" s="24">
        <v>16.22</v>
      </c>
      <c r="C149" s="105">
        <f t="shared" si="5"/>
        <v>2.9593094944512975E-2</v>
      </c>
      <c r="E149">
        <f t="shared" si="4"/>
        <v>8.2789571820766725E-2</v>
      </c>
    </row>
    <row r="150" spans="1:5" x14ac:dyDescent="0.15">
      <c r="A150" s="103">
        <v>41639</v>
      </c>
      <c r="B150" s="22">
        <v>17.62</v>
      </c>
      <c r="C150" s="105">
        <f t="shared" si="5"/>
        <v>-7.9455164585698193E-2</v>
      </c>
      <c r="E150">
        <f t="shared" si="4"/>
        <v>4.2228496419507489E-2</v>
      </c>
    </row>
    <row r="151" spans="1:5" x14ac:dyDescent="0.15">
      <c r="A151" s="104">
        <v>41607</v>
      </c>
      <c r="B151" s="24">
        <v>18.38</v>
      </c>
      <c r="C151" s="105">
        <f t="shared" si="5"/>
        <v>-4.1349292709466703E-2</v>
      </c>
      <c r="E151">
        <f t="shared" si="4"/>
        <v>-5.3644145503184151E-2</v>
      </c>
    </row>
    <row r="152" spans="1:5" x14ac:dyDescent="0.15">
      <c r="A152" s="103">
        <v>41578</v>
      </c>
      <c r="B152" s="22">
        <v>17.420000000000002</v>
      </c>
      <c r="C152" s="105">
        <f t="shared" si="5"/>
        <v>5.5109070034443007E-2</v>
      </c>
      <c r="E152">
        <f t="shared" si="4"/>
        <v>0.10093051100191808</v>
      </c>
    </row>
    <row r="153" spans="1:5" x14ac:dyDescent="0.15">
      <c r="A153" s="104">
        <v>41547</v>
      </c>
      <c r="B153" s="24">
        <v>19.27</v>
      </c>
      <c r="C153" s="105">
        <f t="shared" si="5"/>
        <v>-9.6004151530876908E-2</v>
      </c>
      <c r="E153">
        <f t="shared" si="4"/>
        <v>-5.9328109253127786E-2</v>
      </c>
    </row>
    <row r="154" spans="1:5" x14ac:dyDescent="0.15">
      <c r="A154" s="103">
        <v>41516</v>
      </c>
      <c r="B154" s="22">
        <v>18.16</v>
      </c>
      <c r="C154" s="105">
        <f t="shared" si="5"/>
        <v>6.1123348017621114E-2</v>
      </c>
      <c r="E154" t="e">
        <f t="shared" si="4"/>
        <v>#NUM!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59FB-678F-E643-BF5D-D2EC10B01723}">
  <dimension ref="A1:G28"/>
  <sheetViews>
    <sheetView tabSelected="1" zoomScale="150" workbookViewId="0">
      <selection activeCell="B7" sqref="B7"/>
    </sheetView>
  </sheetViews>
  <sheetFormatPr baseColWidth="10" defaultRowHeight="13" x14ac:dyDescent="0.15"/>
  <cols>
    <col min="1" max="1" width="46.6640625" customWidth="1"/>
    <col min="2" max="2" width="16.6640625" customWidth="1"/>
    <col min="3" max="3" width="19.33203125" customWidth="1"/>
    <col min="4" max="4" width="7" customWidth="1"/>
    <col min="5" max="5" width="30.33203125" bestFit="1" customWidth="1"/>
    <col min="6" max="6" width="18.5" customWidth="1"/>
  </cols>
  <sheetData>
    <row r="1" spans="1:2" ht="16" x14ac:dyDescent="0.2">
      <c r="A1" s="89" t="s">
        <v>184</v>
      </c>
    </row>
    <row r="2" spans="1:2" x14ac:dyDescent="0.15">
      <c r="A2" s="90"/>
    </row>
    <row r="4" spans="1:2" ht="14" x14ac:dyDescent="0.15">
      <c r="A4" s="92" t="s">
        <v>226</v>
      </c>
      <c r="B4" s="93"/>
    </row>
    <row r="5" spans="1:2" x14ac:dyDescent="0.15">
      <c r="A5" t="s">
        <v>223</v>
      </c>
      <c r="B5" s="95">
        <v>4.2999999999999997E-2</v>
      </c>
    </row>
    <row r="6" spans="1:2" x14ac:dyDescent="0.15">
      <c r="A6" t="s">
        <v>224</v>
      </c>
      <c r="B6" s="102">
        <f>'SP500 Price History'!E2-WACC!B5</f>
        <v>5.6785493634378056E-2</v>
      </c>
    </row>
    <row r="7" spans="1:2" x14ac:dyDescent="0.15">
      <c r="A7" t="s">
        <v>225</v>
      </c>
      <c r="B7" s="106">
        <f>'FOXF Price History'!D2</f>
        <v>1.478034938980465</v>
      </c>
    </row>
    <row r="8" spans="1:2" x14ac:dyDescent="0.15">
      <c r="A8" s="27" t="s">
        <v>226</v>
      </c>
      <c r="B8" s="94">
        <f>B5+B7*B6</f>
        <v>0.12693094361886353</v>
      </c>
    </row>
    <row r="10" spans="1:2" ht="14" x14ac:dyDescent="0.15">
      <c r="A10" s="92" t="s">
        <v>185</v>
      </c>
      <c r="B10" s="93"/>
    </row>
    <row r="11" spans="1:2" x14ac:dyDescent="0.15">
      <c r="A11" t="s">
        <v>186</v>
      </c>
      <c r="B11" s="32">
        <f>'Income Statement'!K24</f>
        <v>58.423999999999999</v>
      </c>
    </row>
    <row r="12" spans="1:2" x14ac:dyDescent="0.15">
      <c r="A12" t="s">
        <v>187</v>
      </c>
      <c r="B12" s="32">
        <f>'Balance Sheet'!K46+'Balance Sheet'!K54</f>
        <v>779.6</v>
      </c>
    </row>
    <row r="13" spans="1:2" x14ac:dyDescent="0.15">
      <c r="A13" t="s">
        <v>234</v>
      </c>
      <c r="B13" s="105">
        <f>B11/B12</f>
        <v>7.49409953822473E-2</v>
      </c>
    </row>
    <row r="14" spans="1:2" x14ac:dyDescent="0.15">
      <c r="A14" s="27" t="s">
        <v>188</v>
      </c>
      <c r="B14" s="111">
        <f>NOPAT!V18</f>
        <v>0.126</v>
      </c>
    </row>
    <row r="15" spans="1:2" x14ac:dyDescent="0.15">
      <c r="A15" s="27" t="s">
        <v>185</v>
      </c>
      <c r="B15" s="108">
        <f>B13*(1-B14)</f>
        <v>6.5498429964084143E-2</v>
      </c>
    </row>
    <row r="17" spans="1:7" ht="14" x14ac:dyDescent="0.15">
      <c r="A17" s="92" t="s">
        <v>239</v>
      </c>
      <c r="B17" s="93"/>
    </row>
    <row r="18" spans="1:7" x14ac:dyDescent="0.15">
      <c r="A18" t="s">
        <v>189</v>
      </c>
      <c r="B18" s="32">
        <f>'Balance Sheet'!A2</f>
        <v>16.37</v>
      </c>
    </row>
    <row r="19" spans="1:7" x14ac:dyDescent="0.15">
      <c r="A19" t="s">
        <v>55</v>
      </c>
      <c r="B19" s="109">
        <v>41.8</v>
      </c>
    </row>
    <row r="20" spans="1:7" x14ac:dyDescent="0.15">
      <c r="A20" t="s">
        <v>191</v>
      </c>
      <c r="B20" s="63">
        <f>B18*B19</f>
        <v>684.26599999999996</v>
      </c>
    </row>
    <row r="21" spans="1:7" x14ac:dyDescent="0.15">
      <c r="A21" t="s">
        <v>216</v>
      </c>
      <c r="B21" s="63">
        <f>B12</f>
        <v>779.6</v>
      </c>
    </row>
    <row r="22" spans="1:7" x14ac:dyDescent="0.15">
      <c r="A22" t="s">
        <v>192</v>
      </c>
      <c r="B22" s="63">
        <f>B20+B21</f>
        <v>1463.866</v>
      </c>
    </row>
    <row r="23" spans="1:7" x14ac:dyDescent="0.15">
      <c r="A23" s="27" t="s">
        <v>235</v>
      </c>
      <c r="B23" s="111">
        <f>B20/B22</f>
        <v>0.46743759333163004</v>
      </c>
      <c r="G23" s="102"/>
    </row>
    <row r="24" spans="1:7" x14ac:dyDescent="0.15">
      <c r="A24" s="27" t="s">
        <v>236</v>
      </c>
      <c r="B24" s="111">
        <f>B21/B22</f>
        <v>0.53256240666836996</v>
      </c>
    </row>
    <row r="26" spans="1:7" ht="14" x14ac:dyDescent="0.15">
      <c r="A26" s="92" t="s">
        <v>193</v>
      </c>
      <c r="B26" s="93"/>
    </row>
    <row r="27" spans="1:7" x14ac:dyDescent="0.15">
      <c r="A27" s="99" t="s">
        <v>237</v>
      </c>
    </row>
    <row r="28" spans="1:7" ht="28" customHeight="1" x14ac:dyDescent="0.15">
      <c r="A28" s="27" t="s">
        <v>197</v>
      </c>
      <c r="B28" s="110">
        <f>(B23*B8)+(B24*B15)*(1-B14)</f>
        <v>8.981916411085801E-2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8F25-7392-BB44-82A2-5AC0924EADAB}">
  <dimension ref="A1:L62"/>
  <sheetViews>
    <sheetView zoomScale="89" workbookViewId="0">
      <selection activeCell="B7" sqref="B7"/>
    </sheetView>
  </sheetViews>
  <sheetFormatPr baseColWidth="10" defaultRowHeight="13" x14ac:dyDescent="0.15"/>
  <cols>
    <col min="1" max="1" width="43.33203125" customWidth="1"/>
    <col min="2" max="12" width="16.6640625" customWidth="1"/>
  </cols>
  <sheetData>
    <row r="1" spans="1:12" ht="16" x14ac:dyDescent="0.2">
      <c r="A1" s="89" t="s">
        <v>194</v>
      </c>
    </row>
    <row r="2" spans="1:12" x14ac:dyDescent="0.15">
      <c r="A2" s="115"/>
    </row>
    <row r="4" spans="1:12" ht="14" x14ac:dyDescent="0.15">
      <c r="A4" s="92" t="s">
        <v>195</v>
      </c>
      <c r="B4" s="97" t="s">
        <v>67</v>
      </c>
      <c r="C4" s="97" t="s">
        <v>68</v>
      </c>
      <c r="D4" s="97" t="s">
        <v>69</v>
      </c>
      <c r="E4" s="97" t="s">
        <v>70</v>
      </c>
      <c r="F4" s="97" t="s">
        <v>71</v>
      </c>
      <c r="G4" s="97" t="s">
        <v>72</v>
      </c>
      <c r="H4" s="97" t="s">
        <v>73</v>
      </c>
      <c r="I4" s="97" t="s">
        <v>74</v>
      </c>
      <c r="J4" s="97" t="s">
        <v>75</v>
      </c>
      <c r="K4" s="97" t="s">
        <v>76</v>
      </c>
      <c r="L4" s="97" t="s">
        <v>77</v>
      </c>
    </row>
    <row r="5" spans="1:12" x14ac:dyDescent="0.15">
      <c r="A5" t="s">
        <v>172</v>
      </c>
      <c r="B5" s="114">
        <f>FCF!L17</f>
        <v>95.056911751770002</v>
      </c>
      <c r="C5" s="114">
        <f>FCF!M17</f>
        <v>101.08111483769633</v>
      </c>
      <c r="D5" s="114">
        <f>FCF!N17</f>
        <v>132.83809192969397</v>
      </c>
      <c r="E5" s="114">
        <f>FCF!O17</f>
        <v>161.48864732156326</v>
      </c>
      <c r="F5" s="114">
        <f>FCF!P17</f>
        <v>185.28000234783306</v>
      </c>
      <c r="G5" s="114">
        <f>FCF!Q17</f>
        <v>209.94377373239314</v>
      </c>
      <c r="H5" s="114">
        <f>FCF!R17</f>
        <v>233.65101265084161</v>
      </c>
      <c r="I5" s="114">
        <f>FCF!S17</f>
        <v>240.23958133338905</v>
      </c>
      <c r="J5" s="114">
        <f>FCF!T17</f>
        <v>255.91815776281044</v>
      </c>
      <c r="K5" s="114">
        <f>FCF!U17</f>
        <v>269.18446469188075</v>
      </c>
      <c r="L5" s="114">
        <f>FCF!V17</f>
        <v>277.28249531181996</v>
      </c>
    </row>
    <row r="6" spans="1:12" x14ac:dyDescent="0.15">
      <c r="A6" t="s">
        <v>196</v>
      </c>
      <c r="B6" s="116">
        <v>1</v>
      </c>
      <c r="C6" s="116">
        <v>2</v>
      </c>
      <c r="D6" s="116">
        <v>3</v>
      </c>
      <c r="E6" s="116">
        <v>4</v>
      </c>
      <c r="F6" s="116">
        <v>5</v>
      </c>
      <c r="G6" s="116">
        <v>6</v>
      </c>
      <c r="H6" s="116">
        <v>7</v>
      </c>
      <c r="I6" s="116">
        <v>8</v>
      </c>
      <c r="J6" s="116">
        <v>9</v>
      </c>
      <c r="K6" s="116">
        <v>10</v>
      </c>
    </row>
    <row r="7" spans="1:12" x14ac:dyDescent="0.15">
      <c r="A7" s="27" t="s">
        <v>197</v>
      </c>
      <c r="B7" s="108">
        <f>WACC!B28</f>
        <v>8.981916411085801E-2</v>
      </c>
    </row>
    <row r="8" spans="1:12" x14ac:dyDescent="0.15">
      <c r="A8" t="s">
        <v>198</v>
      </c>
      <c r="B8" s="117">
        <f>1/(1+$B$7)^B6</f>
        <v>0.91758342386634562</v>
      </c>
      <c r="C8" s="117">
        <f t="shared" ref="C8:K8" si="0">1/(1+$B$7)^C6</f>
        <v>0.84195933975428572</v>
      </c>
      <c r="D8" s="117">
        <f t="shared" si="0"/>
        <v>0.77256793372798527</v>
      </c>
      <c r="E8" s="117">
        <f t="shared" si="0"/>
        <v>0.70889552979947279</v>
      </c>
      <c r="F8" s="117">
        <f t="shared" si="0"/>
        <v>0.6504707873969473</v>
      </c>
      <c r="G8" s="117">
        <f t="shared" si="0"/>
        <v>0.59686121222472865</v>
      </c>
      <c r="H8" s="117">
        <f t="shared" si="0"/>
        <v>0.54766995468618407</v>
      </c>
      <c r="I8" s="117">
        <f t="shared" si="0"/>
        <v>0.50253287216967513</v>
      </c>
      <c r="J8" s="117">
        <f t="shared" si="0"/>
        <v>0.46111583345083912</v>
      </c>
      <c r="K8" s="117">
        <f t="shared" si="0"/>
        <v>0.42311224525680458</v>
      </c>
      <c r="L8" s="118"/>
    </row>
    <row r="9" spans="1:12" x14ac:dyDescent="0.15">
      <c r="A9" s="27" t="s">
        <v>199</v>
      </c>
      <c r="B9" s="112">
        <f>B5/(1+$B$7)^B6</f>
        <v>87.22264654735018</v>
      </c>
      <c r="C9" s="112">
        <f t="shared" ref="C9:K9" si="1">C5/(1+$B$7)^C6</f>
        <v>85.106188710373942</v>
      </c>
      <c r="D9" s="112">
        <f t="shared" si="1"/>
        <v>102.62645020249184</v>
      </c>
      <c r="E9" s="112">
        <f t="shared" si="1"/>
        <v>114.4785801996198</v>
      </c>
      <c r="F9" s="112">
        <f t="shared" si="1"/>
        <v>120.51922901610321</v>
      </c>
      <c r="G9" s="112">
        <f t="shared" si="1"/>
        <v>125.30729528895033</v>
      </c>
      <c r="H9" s="112">
        <f t="shared" si="1"/>
        <v>127.96363951086745</v>
      </c>
      <c r="I9" s="112">
        <f t="shared" si="1"/>
        <v>120.72828681630828</v>
      </c>
      <c r="J9" s="112">
        <f t="shared" si="1"/>
        <v>118.00791461200166</v>
      </c>
      <c r="K9" s="112">
        <f t="shared" si="1"/>
        <v>113.8952432440327</v>
      </c>
      <c r="L9" s="116">
        <v>10</v>
      </c>
    </row>
    <row r="11" spans="1:12" ht="14" thickBot="1" x14ac:dyDescent="0.2">
      <c r="A11" s="27" t="s">
        <v>200</v>
      </c>
      <c r="B11" s="113">
        <f>SUM(B9:K9)</f>
        <v>1115.8554741480991</v>
      </c>
      <c r="D11" s="117"/>
    </row>
    <row r="12" spans="1:12" x14ac:dyDescent="0.15">
      <c r="D12" s="96"/>
    </row>
    <row r="13" spans="1:12" ht="14" x14ac:dyDescent="0.15">
      <c r="A13" s="92" t="s">
        <v>201</v>
      </c>
      <c r="B13" s="93"/>
    </row>
    <row r="14" spans="1:12" x14ac:dyDescent="0.15">
      <c r="A14" s="99" t="s">
        <v>238</v>
      </c>
      <c r="B14" s="114">
        <f>NOPAT!V12</f>
        <v>313.50034906132277</v>
      </c>
    </row>
    <row r="15" spans="1:12" x14ac:dyDescent="0.15">
      <c r="A15" t="s">
        <v>202</v>
      </c>
      <c r="B15" s="95">
        <f>NOPAT!V15</f>
        <v>0.03</v>
      </c>
    </row>
    <row r="16" spans="1:12" x14ac:dyDescent="0.15">
      <c r="A16" s="99" t="s">
        <v>229</v>
      </c>
      <c r="B16" s="95">
        <f>NOPAT!V12/'Invested Capital'!V10</f>
        <v>0.25211538461538474</v>
      </c>
    </row>
    <row r="17" spans="1:2" x14ac:dyDescent="0.15">
      <c r="A17" t="s">
        <v>197</v>
      </c>
      <c r="B17" s="102">
        <f>WACC!B28</f>
        <v>8.981916411085801E-2</v>
      </c>
    </row>
    <row r="18" spans="1:2" x14ac:dyDescent="0.15">
      <c r="A18" s="27" t="s">
        <v>222</v>
      </c>
      <c r="B18" s="96">
        <f>B14*(1-B15/B16)/(B17-B15)</f>
        <v>4617.1818647863938</v>
      </c>
    </row>
    <row r="20" spans="1:2" x14ac:dyDescent="0.15">
      <c r="A20" s="27" t="s">
        <v>203</v>
      </c>
      <c r="B20" s="96">
        <f>B18*K8</f>
        <v>1953.586185568771</v>
      </c>
    </row>
    <row r="22" spans="1:2" ht="14" x14ac:dyDescent="0.15">
      <c r="A22" s="92" t="s">
        <v>204</v>
      </c>
      <c r="B22" s="93"/>
    </row>
    <row r="23" spans="1:2" x14ac:dyDescent="0.15">
      <c r="A23" t="s">
        <v>205</v>
      </c>
      <c r="B23" s="118">
        <f>B11</f>
        <v>1115.8554741480991</v>
      </c>
    </row>
    <row r="24" spans="1:2" x14ac:dyDescent="0.15">
      <c r="A24" t="s">
        <v>203</v>
      </c>
      <c r="B24" s="118">
        <f>B20</f>
        <v>1953.586185568771</v>
      </c>
    </row>
    <row r="25" spans="1:2" x14ac:dyDescent="0.15">
      <c r="A25" s="27" t="s">
        <v>206</v>
      </c>
      <c r="B25" s="98">
        <f>B23+B24</f>
        <v>3069.4416597168702</v>
      </c>
    </row>
    <row r="27" spans="1:2" x14ac:dyDescent="0.15">
      <c r="A27" t="s">
        <v>207</v>
      </c>
    </row>
    <row r="28" spans="1:2" x14ac:dyDescent="0.15">
      <c r="A28" t="s">
        <v>208</v>
      </c>
      <c r="B28" s="118">
        <f>'Balance Sheet'!K11</f>
        <v>58</v>
      </c>
    </row>
    <row r="29" spans="1:2" x14ac:dyDescent="0.15">
      <c r="A29" t="s">
        <v>209</v>
      </c>
      <c r="B29" s="118">
        <f>'Balance Sheet'!K35+'Balance Sheet'!K40</f>
        <v>145.5</v>
      </c>
    </row>
    <row r="30" spans="1:2" x14ac:dyDescent="0.15">
      <c r="A30" t="s">
        <v>210</v>
      </c>
      <c r="B30" s="119">
        <f>B28+B29</f>
        <v>203.5</v>
      </c>
    </row>
    <row r="32" spans="1:2" ht="15" thickBot="1" x14ac:dyDescent="0.2">
      <c r="A32" s="91" t="s">
        <v>211</v>
      </c>
      <c r="B32" s="100">
        <f>B25+B30</f>
        <v>3272.9416597168702</v>
      </c>
    </row>
    <row r="34" spans="1:2" ht="14" x14ac:dyDescent="0.15">
      <c r="A34" s="92" t="s">
        <v>212</v>
      </c>
      <c r="B34" s="93"/>
    </row>
    <row r="35" spans="1:2" x14ac:dyDescent="0.15">
      <c r="A35" t="s">
        <v>213</v>
      </c>
    </row>
    <row r="36" spans="1:2" x14ac:dyDescent="0.15">
      <c r="A36" t="s">
        <v>214</v>
      </c>
      <c r="B36" s="120">
        <f>-'Balance Sheet'!K46</f>
        <v>-43.1</v>
      </c>
    </row>
    <row r="37" spans="1:2" x14ac:dyDescent="0.15">
      <c r="A37" t="s">
        <v>215</v>
      </c>
      <c r="B37" s="120">
        <f>-'Balance Sheet'!K54</f>
        <v>-736.5</v>
      </c>
    </row>
    <row r="38" spans="1:2" x14ac:dyDescent="0.15">
      <c r="A38" t="s">
        <v>216</v>
      </c>
      <c r="B38" s="121">
        <f>B36+B37</f>
        <v>-779.6</v>
      </c>
    </row>
    <row r="40" spans="1:2" ht="15" thickBot="1" x14ac:dyDescent="0.2">
      <c r="A40" s="91" t="s">
        <v>217</v>
      </c>
      <c r="B40" s="100">
        <f>B32+B38</f>
        <v>2493.3416597168703</v>
      </c>
    </row>
    <row r="42" spans="1:2" ht="14" x14ac:dyDescent="0.15">
      <c r="A42" s="92" t="s">
        <v>218</v>
      </c>
      <c r="B42" s="93"/>
    </row>
    <row r="43" spans="1:2" x14ac:dyDescent="0.15">
      <c r="A43" t="s">
        <v>190</v>
      </c>
      <c r="B43" s="122">
        <f>WACC!B19</f>
        <v>41.8</v>
      </c>
    </row>
    <row r="44" spans="1:2" ht="16" x14ac:dyDescent="0.2">
      <c r="A44" s="89" t="s">
        <v>219</v>
      </c>
      <c r="B44" s="101">
        <f>B40/B43</f>
        <v>59.649322002795941</v>
      </c>
    </row>
    <row r="46" spans="1:2" x14ac:dyDescent="0.15">
      <c r="A46" t="s">
        <v>220</v>
      </c>
      <c r="B46" s="114">
        <f>'Balance Sheet'!A2</f>
        <v>16.37</v>
      </c>
    </row>
    <row r="47" spans="1:2" x14ac:dyDescent="0.15">
      <c r="A47" t="s">
        <v>221</v>
      </c>
      <c r="B47" s="94">
        <f>B44/B46-1</f>
        <v>2.6438193037749502</v>
      </c>
    </row>
    <row r="49" spans="1:8" ht="14" x14ac:dyDescent="0.15">
      <c r="A49" s="91"/>
    </row>
    <row r="50" spans="1:8" x14ac:dyDescent="0.15">
      <c r="B50" s="95"/>
    </row>
    <row r="51" spans="1:8" x14ac:dyDescent="0.15">
      <c r="B51" s="95"/>
    </row>
    <row r="52" spans="1:8" x14ac:dyDescent="0.15">
      <c r="B52" s="95"/>
    </row>
    <row r="54" spans="1:8" ht="14" x14ac:dyDescent="0.15">
      <c r="A54" s="91"/>
    </row>
    <row r="55" spans="1:8" x14ac:dyDescent="0.15">
      <c r="A55" s="123"/>
      <c r="B55" s="124"/>
      <c r="C55" s="124"/>
      <c r="D55" s="124"/>
      <c r="E55" s="124"/>
      <c r="F55" s="124"/>
      <c r="G55" s="124"/>
      <c r="H55" s="124"/>
    </row>
    <row r="56" spans="1:8" x14ac:dyDescent="0.15">
      <c r="A56" s="94"/>
      <c r="B56" s="125"/>
      <c r="C56" s="125"/>
      <c r="D56" s="125"/>
      <c r="E56" s="125"/>
      <c r="F56" s="125"/>
      <c r="G56" s="125"/>
      <c r="H56" s="125"/>
    </row>
    <row r="57" spans="1:8" x14ac:dyDescent="0.15">
      <c r="A57" s="94"/>
      <c r="B57" s="125"/>
      <c r="C57" s="125"/>
      <c r="D57" s="125"/>
      <c r="E57" s="125"/>
      <c r="F57" s="125"/>
      <c r="G57" s="125"/>
      <c r="H57" s="125"/>
    </row>
    <row r="58" spans="1:8" x14ac:dyDescent="0.15">
      <c r="A58" s="94"/>
      <c r="B58" s="125"/>
      <c r="C58" s="125"/>
      <c r="D58" s="125"/>
      <c r="E58" s="125"/>
      <c r="F58" s="125"/>
      <c r="G58" s="125"/>
      <c r="H58" s="125"/>
    </row>
    <row r="59" spans="1:8" x14ac:dyDescent="0.15">
      <c r="A59" s="94"/>
      <c r="B59" s="125"/>
      <c r="C59" s="125"/>
      <c r="D59" s="125"/>
      <c r="E59" s="126"/>
      <c r="F59" s="125"/>
      <c r="G59" s="125"/>
      <c r="H59" s="125"/>
    </row>
    <row r="60" spans="1:8" x14ac:dyDescent="0.15">
      <c r="A60" s="94"/>
      <c r="B60" s="125"/>
      <c r="C60" s="125"/>
      <c r="D60" s="125"/>
      <c r="E60" s="125"/>
      <c r="F60" s="125"/>
      <c r="G60" s="125"/>
      <c r="H60" s="125"/>
    </row>
    <row r="61" spans="1:8" x14ac:dyDescent="0.15">
      <c r="A61" s="94"/>
      <c r="B61" s="125"/>
      <c r="C61" s="125"/>
      <c r="D61" s="125"/>
      <c r="E61" s="125"/>
      <c r="F61" s="125"/>
      <c r="G61" s="125"/>
      <c r="H61" s="125"/>
    </row>
    <row r="62" spans="1:8" x14ac:dyDescent="0.15">
      <c r="A62" s="94"/>
      <c r="B62" s="125"/>
      <c r="C62" s="125"/>
      <c r="D62" s="125"/>
      <c r="E62" s="125"/>
      <c r="F62" s="125"/>
      <c r="G62" s="125"/>
      <c r="H62" s="125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Income Statement</vt:lpstr>
      <vt:lpstr>NOPAT</vt:lpstr>
      <vt:lpstr>Balance Sheet</vt:lpstr>
      <vt:lpstr>Invested Capital</vt:lpstr>
      <vt:lpstr>FCF</vt:lpstr>
      <vt:lpstr>SP500 Price History</vt:lpstr>
      <vt:lpstr>FOXF Price History</vt:lpstr>
      <vt:lpstr>WACC</vt:lpstr>
      <vt:lpstr>DCF Valuation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FactSet Research Systems</dc:creator>
  <cp:keywords/>
  <dc:description/>
  <cp:lastModifiedBy>Benjamin Chadda</cp:lastModifiedBy>
  <dcterms:created xsi:type="dcterms:W3CDTF">2026-03-09T22:48:30Z</dcterms:created>
  <dcterms:modified xsi:type="dcterms:W3CDTF">2026-05-05T00:51:25Z</dcterms:modified>
  <cp:category/>
</cp:coreProperties>
</file>